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49.xml" ContentType="application/inkml+xml"/>
  <Override PartName="/xl/ink/ink50.xml" ContentType="application/inkml+xml"/>
  <Override PartName="/xl/ink/ink51.xml" ContentType="application/inkml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 Vair\Desktop\Thermal design and optimization\Project and ASPEN\GROUP PROJECT\"/>
    </mc:Choice>
  </mc:AlternateContent>
  <xr:revisionPtr revIDLastSave="0" documentId="13_ncr:1_{E65AEB98-288C-4AA6-939B-EF36AB5340DA}" xr6:coauthVersionLast="46" xr6:coauthVersionMax="46" xr10:uidLastSave="{00000000-0000-0000-0000-000000000000}"/>
  <bookViews>
    <workbookView xWindow="28680" yWindow="-120" windowWidth="21840" windowHeight="13140" firstSheet="1" activeTab="5" xr2:uid="{B656CA2B-AAE9-44AE-B841-D401BA14478A}"/>
  </bookViews>
  <sheets>
    <sheet name="task1" sheetId="1" r:id="rId1"/>
    <sheet name="task2" sheetId="2" r:id="rId2"/>
    <sheet name="CHEMICAL EXERGY" sheetId="5" r:id="rId3"/>
    <sheet name="task4" sheetId="4" r:id="rId4"/>
    <sheet name="task5" sheetId="6" r:id="rId5"/>
    <sheet name="DESIGN IMPROVEMENT" sheetId="7" r:id="rId6"/>
    <sheet name="Electricity cost carbon tax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7" l="1"/>
  <c r="W18" i="8"/>
  <c r="W17" i="8"/>
  <c r="N15" i="7"/>
  <c r="K15" i="7"/>
  <c r="L15" i="7" s="1"/>
  <c r="M15" i="7" s="1"/>
  <c r="P14" i="7"/>
  <c r="N14" i="7"/>
  <c r="K14" i="7"/>
  <c r="L14" i="7" s="1"/>
  <c r="M14" i="7" s="1"/>
  <c r="P13" i="7"/>
  <c r="N13" i="7"/>
  <c r="K13" i="7"/>
  <c r="L13" i="7" s="1"/>
  <c r="M13" i="7" s="1"/>
  <c r="N6" i="7"/>
  <c r="N7" i="7"/>
  <c r="N8" i="7"/>
  <c r="M6" i="7"/>
  <c r="M7" i="7"/>
  <c r="M8" i="7"/>
  <c r="L6" i="7"/>
  <c r="L7" i="7"/>
  <c r="L8" i="7"/>
  <c r="L10" i="7"/>
  <c r="M10" i="7" s="1"/>
  <c r="N10" i="7" s="1"/>
  <c r="K6" i="7"/>
  <c r="K7" i="7"/>
  <c r="K8" i="7"/>
  <c r="K9" i="7"/>
  <c r="L9" i="7" s="1"/>
  <c r="M9" i="7" s="1"/>
  <c r="N9" i="7" s="1"/>
  <c r="K10" i="7"/>
  <c r="K11" i="7"/>
  <c r="L11" i="7" s="1"/>
  <c r="M11" i="7" s="1"/>
  <c r="N11" i="7" s="1"/>
  <c r="K12" i="7"/>
  <c r="L12" i="7" s="1"/>
  <c r="M12" i="7" s="1"/>
  <c r="N12" i="7" s="1"/>
  <c r="P9" i="7"/>
  <c r="P10" i="7"/>
  <c r="P11" i="7"/>
  <c r="P12" i="7"/>
  <c r="P8" i="7"/>
  <c r="P7" i="7"/>
  <c r="P6" i="7"/>
  <c r="P5" i="7"/>
  <c r="M5" i="7"/>
  <c r="L5" i="7"/>
  <c r="C27" i="8" a="1"/>
  <c r="C27" i="8" s="1"/>
  <c r="B21" i="7" l="1"/>
  <c r="B19" i="7"/>
  <c r="B10" i="7"/>
  <c r="B8" i="7"/>
  <c r="D7" i="7" s="1"/>
  <c r="AR114" i="4"/>
  <c r="AE114" i="4"/>
  <c r="D18" i="7" l="1"/>
  <c r="B9" i="7"/>
  <c r="E7" i="7" s="1"/>
  <c r="E9" i="7" s="1"/>
  <c r="B20" i="7"/>
  <c r="E18" i="7" s="1"/>
  <c r="E20" i="7" s="1"/>
  <c r="F18" i="7" s="1"/>
  <c r="AP275" i="4"/>
  <c r="AP274" i="4"/>
  <c r="AP273" i="4"/>
  <c r="F7" i="7" l="1"/>
  <c r="G7" i="7" s="1"/>
  <c r="H7" i="7" s="1"/>
  <c r="F12" i="7" s="1"/>
  <c r="K5" i="7"/>
  <c r="N5" i="7" s="1"/>
  <c r="G18" i="7"/>
  <c r="H18" i="7" s="1"/>
  <c r="F23" i="7" s="1"/>
  <c r="AH281" i="4"/>
  <c r="AH280" i="4"/>
  <c r="AH279" i="4"/>
  <c r="AH278" i="4"/>
  <c r="AH277" i="4"/>
  <c r="AH276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63" i="4"/>
  <c r="AO68" i="4"/>
  <c r="AO66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7" i="4"/>
  <c r="AO69" i="4"/>
  <c r="AO70" i="4"/>
  <c r="AO53" i="4"/>
  <c r="V64" i="4"/>
  <c r="V63" i="4"/>
  <c r="V6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32" i="4"/>
  <c r="AB27" i="4"/>
  <c r="AB28" i="4"/>
  <c r="AB29" i="4"/>
  <c r="AB30" i="4"/>
  <c r="AB26" i="4"/>
  <c r="B120" i="2"/>
  <c r="B119" i="2"/>
  <c r="B118" i="2"/>
  <c r="B117" i="2"/>
  <c r="B116" i="2"/>
  <c r="B114" i="2"/>
  <c r="B113" i="2"/>
  <c r="B112" i="2"/>
  <c r="B111" i="2"/>
  <c r="M42" i="2"/>
  <c r="I42" i="2"/>
  <c r="Y6" i="8" l="1" a="1"/>
  <c r="J42" i="2"/>
  <c r="C42" i="2"/>
  <c r="Z13" i="8" l="1"/>
  <c r="AB13" i="8" s="1"/>
  <c r="Z9" i="8"/>
  <c r="AB9" i="8" s="1"/>
  <c r="Z23" i="8"/>
  <c r="AB23" i="8" s="1"/>
  <c r="Z17" i="8"/>
  <c r="AB17" i="8" s="1"/>
  <c r="Z7" i="8"/>
  <c r="AB7" i="8" s="1"/>
  <c r="Z24" i="8"/>
  <c r="AB24" i="8" s="1"/>
  <c r="Z20" i="8"/>
  <c r="AB20" i="8" s="1"/>
  <c r="Z16" i="8"/>
  <c r="AB16" i="8" s="1"/>
  <c r="Z14" i="8"/>
  <c r="AB14" i="8" s="1"/>
  <c r="Z15" i="8"/>
  <c r="AB15" i="8" s="1"/>
  <c r="Z21" i="8"/>
  <c r="AB21" i="8" s="1"/>
  <c r="Z18" i="8"/>
  <c r="AB18" i="8" s="1"/>
  <c r="Z19" i="8"/>
  <c r="AB19" i="8" s="1"/>
  <c r="Z12" i="8"/>
  <c r="AB12" i="8" s="1"/>
  <c r="Z8" i="8"/>
  <c r="AB8" i="8" s="1"/>
  <c r="Y6" i="8"/>
  <c r="Z6" i="8" s="1"/>
  <c r="AB6" i="8" s="1"/>
  <c r="Z10" i="8"/>
  <c r="AB10" i="8" s="1"/>
  <c r="Z11" i="8"/>
  <c r="AB11" i="8" s="1"/>
  <c r="Z22" i="8"/>
  <c r="AB22" i="8" s="1"/>
  <c r="I9" i="6"/>
  <c r="AH6" i="8" l="1"/>
  <c r="I7" i="6"/>
  <c r="I6" i="6"/>
  <c r="I8" i="6"/>
  <c r="I10" i="6"/>
  <c r="I11" i="6"/>
  <c r="I13" i="6"/>
  <c r="I12" i="6"/>
  <c r="I14" i="6"/>
  <c r="I5" i="6"/>
  <c r="Z19" i="6"/>
  <c r="Z21" i="6"/>
  <c r="X12" i="6"/>
  <c r="X13" i="6"/>
  <c r="X14" i="6"/>
  <c r="X15" i="6"/>
  <c r="X16" i="6"/>
  <c r="X17" i="6"/>
  <c r="X18" i="6"/>
  <c r="X19" i="6"/>
  <c r="X20" i="6"/>
  <c r="X21" i="6"/>
  <c r="X22" i="6"/>
  <c r="X23" i="6"/>
  <c r="X11" i="6"/>
  <c r="X10" i="6"/>
  <c r="X6" i="6"/>
  <c r="X7" i="6"/>
  <c r="X8" i="6"/>
  <c r="X9" i="6"/>
  <c r="X5" i="6"/>
  <c r="AG264" i="4" l="1"/>
  <c r="AG265" i="4"/>
  <c r="AG266" i="4"/>
  <c r="AG267" i="4"/>
  <c r="AG268" i="4"/>
  <c r="AG269" i="4"/>
  <c r="AG270" i="4"/>
  <c r="AG271" i="4"/>
  <c r="AG272" i="4"/>
  <c r="AG273" i="4"/>
  <c r="AG274" i="4"/>
  <c r="AG275" i="4"/>
  <c r="AG276" i="4"/>
  <c r="AG277" i="4"/>
  <c r="AG278" i="4"/>
  <c r="AG279" i="4"/>
  <c r="AG280" i="4"/>
  <c r="AG281" i="4"/>
  <c r="AG263" i="4"/>
  <c r="AI279" i="4" l="1"/>
  <c r="AI277" i="4"/>
  <c r="AI268" i="4"/>
  <c r="Z10" i="6" s="1"/>
  <c r="AI270" i="4"/>
  <c r="Z12" i="6" s="1"/>
  <c r="C11" i="6" s="1"/>
  <c r="K11" i="6" s="1"/>
  <c r="AI271" i="4"/>
  <c r="Z13" i="6" s="1"/>
  <c r="AI272" i="4"/>
  <c r="Z14" i="6" s="1"/>
  <c r="AI273" i="4"/>
  <c r="Z15" i="6" s="1"/>
  <c r="C13" i="6" s="1"/>
  <c r="K13" i="6" s="1"/>
  <c r="AI274" i="4"/>
  <c r="Z16" i="6" s="1"/>
  <c r="AI275" i="4"/>
  <c r="Z17" i="6" s="1"/>
  <c r="AI276" i="4"/>
  <c r="Z18" i="6" s="1"/>
  <c r="C5" i="6" s="1"/>
  <c r="K5" i="6" s="1"/>
  <c r="AI278" i="4"/>
  <c r="Z20" i="6" s="1"/>
  <c r="C7" i="6" s="1"/>
  <c r="K7" i="6" s="1"/>
  <c r="AI280" i="4"/>
  <c r="Z22" i="6" s="1"/>
  <c r="E12" i="6" s="1"/>
  <c r="AI281" i="4"/>
  <c r="Z23" i="6" s="1"/>
  <c r="E14" i="6" s="1"/>
  <c r="AI269" i="4"/>
  <c r="Z11" i="6" s="1"/>
  <c r="E10" i="6" s="1"/>
  <c r="AI264" i="4"/>
  <c r="Z6" i="6" s="1"/>
  <c r="C6" i="6" s="1"/>
  <c r="K6" i="6" s="1"/>
  <c r="AI265" i="4"/>
  <c r="Z7" i="6" s="1"/>
  <c r="E6" i="6" s="1"/>
  <c r="AI266" i="4"/>
  <c r="Z8" i="6" s="1"/>
  <c r="AI267" i="4"/>
  <c r="Z9" i="6" s="1"/>
  <c r="AI263" i="4"/>
  <c r="Z5" i="6" s="1"/>
  <c r="C10" i="6" l="1"/>
  <c r="K10" i="6" s="1"/>
  <c r="E9" i="6"/>
  <c r="C14" i="6"/>
  <c r="E13" i="6"/>
  <c r="M12" i="6" s="1"/>
  <c r="E5" i="6"/>
  <c r="M5" i="6" s="1"/>
  <c r="C12" i="6"/>
  <c r="E11" i="6"/>
  <c r="M11" i="6" s="1"/>
  <c r="C9" i="6"/>
  <c r="E8" i="6"/>
  <c r="C8" i="6"/>
  <c r="K8" i="6" s="1"/>
  <c r="E7" i="6"/>
  <c r="M6" i="6" s="1"/>
  <c r="M7" i="6"/>
  <c r="O289" i="4"/>
  <c r="J289" i="4"/>
  <c r="AO103" i="4"/>
  <c r="AL103" i="4"/>
  <c r="AP103" i="4" s="1"/>
  <c r="M10" i="6" l="1"/>
  <c r="M8" i="6"/>
  <c r="K9" i="6"/>
  <c r="M9" i="6"/>
  <c r="K12" i="6"/>
  <c r="M13" i="6"/>
  <c r="K14" i="6"/>
  <c r="M14" i="6"/>
  <c r="W277" i="4"/>
  <c r="W276" i="4"/>
  <c r="W275" i="4"/>
  <c r="I245" i="4" l="1"/>
  <c r="I209" i="4"/>
  <c r="E247" i="4"/>
  <c r="C249" i="4" s="1"/>
  <c r="B251" i="4" s="1"/>
  <c r="N223" i="4"/>
  <c r="B231" i="4"/>
  <c r="B232" i="4" s="1"/>
  <c r="W112" i="4" s="1"/>
  <c r="AB113" i="4" s="1"/>
  <c r="AC112" i="4" s="1"/>
  <c r="AD112" i="4" s="1"/>
  <c r="AE112" i="4" s="1"/>
  <c r="AR112" i="4" s="1"/>
  <c r="D207" i="4"/>
  <c r="C213" i="4"/>
  <c r="B215" i="4" s="1"/>
  <c r="B216" i="4" s="1"/>
  <c r="J203" i="4" s="1"/>
  <c r="E211" i="4"/>
  <c r="N188" i="4"/>
  <c r="B196" i="4"/>
  <c r="D193" i="4"/>
  <c r="W108" i="4"/>
  <c r="AB109" i="4" s="1"/>
  <c r="AC108" i="4" s="1"/>
  <c r="AD108" i="4" s="1"/>
  <c r="AE108" i="4" s="1"/>
  <c r="AR108" i="4" s="1"/>
  <c r="D30" i="5"/>
  <c r="E30" i="5"/>
  <c r="F30" i="5"/>
  <c r="G30" i="5"/>
  <c r="H30" i="5"/>
  <c r="I30" i="5"/>
  <c r="J30" i="5"/>
  <c r="K30" i="5"/>
  <c r="L30" i="5"/>
  <c r="M30" i="5"/>
  <c r="N30" i="5"/>
  <c r="C30" i="5"/>
  <c r="B218" i="4" l="1"/>
  <c r="W109" i="4" s="1"/>
  <c r="AB110" i="4" s="1"/>
  <c r="AC109" i="4" s="1"/>
  <c r="AD109" i="4" s="1"/>
  <c r="AE109" i="4" s="1"/>
  <c r="AR109" i="4" s="1"/>
  <c r="B254" i="4"/>
  <c r="W111" i="4" s="1"/>
  <c r="AB112" i="4" s="1"/>
  <c r="AC111" i="4" s="1"/>
  <c r="AD111" i="4" s="1"/>
  <c r="AE111" i="4" s="1"/>
  <c r="AR111" i="4" s="1"/>
  <c r="J239" i="4"/>
  <c r="B252" i="4"/>
  <c r="AX108" i="4"/>
  <c r="G10" i="6" s="1"/>
  <c r="AX112" i="4"/>
  <c r="G14" i="6" s="1"/>
  <c r="B197" i="4"/>
  <c r="W110" i="4" s="1"/>
  <c r="AB111" i="4" s="1"/>
  <c r="AC110" i="4" s="1"/>
  <c r="AD110" i="4" s="1"/>
  <c r="AE110" i="4" s="1"/>
  <c r="AR110" i="4" s="1"/>
  <c r="B177" i="4"/>
  <c r="O10" i="6" l="1"/>
  <c r="E24" i="6"/>
  <c r="O14" i="6"/>
  <c r="E23" i="6"/>
  <c r="AX109" i="4"/>
  <c r="G11" i="6" s="1"/>
  <c r="W268" i="4"/>
  <c r="W272" i="4"/>
  <c r="AX111" i="4"/>
  <c r="G13" i="6" s="1"/>
  <c r="AX110" i="4"/>
  <c r="G12" i="6" s="1"/>
  <c r="B178" i="4"/>
  <c r="W107" i="4" s="1"/>
  <c r="AB108" i="4" s="1"/>
  <c r="AC107" i="4" s="1"/>
  <c r="AD107" i="4" s="1"/>
  <c r="AE107" i="4" s="1"/>
  <c r="AR107" i="4" s="1"/>
  <c r="I157" i="4"/>
  <c r="L158" i="4" s="1"/>
  <c r="I121" i="4"/>
  <c r="L122" i="4" s="1"/>
  <c r="E172" i="4"/>
  <c r="B131" i="4"/>
  <c r="B130" i="4"/>
  <c r="B167" i="4"/>
  <c r="B166" i="4"/>
  <c r="B165" i="4"/>
  <c r="E164" i="4" s="1"/>
  <c r="B149" i="4"/>
  <c r="D160" i="4"/>
  <c r="D146" i="4"/>
  <c r="B129" i="4"/>
  <c r="E128" i="4" s="1"/>
  <c r="D124" i="4"/>
  <c r="E136" i="4" s="1"/>
  <c r="D110" i="4"/>
  <c r="B113" i="4"/>
  <c r="V66" i="4"/>
  <c r="V65" i="4"/>
  <c r="J70" i="4"/>
  <c r="Y41" i="4"/>
  <c r="Y40" i="4"/>
  <c r="Y39" i="4"/>
  <c r="Y38" i="4"/>
  <c r="Y43" i="4"/>
  <c r="Y42" i="4"/>
  <c r="D48" i="2"/>
  <c r="E48" i="2"/>
  <c r="F48" i="2"/>
  <c r="G48" i="2"/>
  <c r="H48" i="2"/>
  <c r="K48" i="2"/>
  <c r="L48" i="2"/>
  <c r="N48" i="2"/>
  <c r="O13" i="6" l="1"/>
  <c r="E25" i="6"/>
  <c r="O11" i="6"/>
  <c r="E21" i="6"/>
  <c r="O12" i="6"/>
  <c r="E26" i="6"/>
  <c r="W269" i="4"/>
  <c r="W271" i="4"/>
  <c r="Y104" i="4"/>
  <c r="B150" i="4"/>
  <c r="W105" i="4" s="1"/>
  <c r="AB106" i="4" s="1"/>
  <c r="AC105" i="4" s="1"/>
  <c r="AD105" i="4" s="1"/>
  <c r="AE105" i="4" s="1"/>
  <c r="AR105" i="4" s="1"/>
  <c r="AX105" i="4" s="1"/>
  <c r="G7" i="6" s="1"/>
  <c r="Y106" i="4"/>
  <c r="W270" i="4"/>
  <c r="AX107" i="4"/>
  <c r="G9" i="6" s="1"/>
  <c r="C114" i="4"/>
  <c r="W103" i="4" s="1"/>
  <c r="AB104" i="4" s="1"/>
  <c r="AC103" i="4" s="1"/>
  <c r="AD103" i="4" s="1"/>
  <c r="AE103" i="4" s="1"/>
  <c r="AR103" i="4" s="1"/>
  <c r="E165" i="4"/>
  <c r="B171" i="4" s="1"/>
  <c r="B172" i="4" s="1"/>
  <c r="W106" i="4" s="1"/>
  <c r="AB107" i="4" s="1"/>
  <c r="AC106" i="4" s="1"/>
  <c r="AD106" i="4" s="1"/>
  <c r="AE106" i="4" s="1"/>
  <c r="AR106" i="4" s="1"/>
  <c r="E129" i="4"/>
  <c r="B135" i="4" s="1"/>
  <c r="B136" i="4" s="1"/>
  <c r="W104" i="4" s="1"/>
  <c r="AB105" i="4" s="1"/>
  <c r="AC104" i="4" s="1"/>
  <c r="AD104" i="4" s="1"/>
  <c r="AE104" i="4" s="1"/>
  <c r="AR104" i="4" s="1"/>
  <c r="O9" i="6" l="1"/>
  <c r="E29" i="6"/>
  <c r="O7" i="6"/>
  <c r="E28" i="6"/>
  <c r="AX106" i="4"/>
  <c r="G8" i="6" s="1"/>
  <c r="AX103" i="4"/>
  <c r="G5" i="6" s="1"/>
  <c r="AX104" i="4"/>
  <c r="G6" i="6" s="1"/>
  <c r="W267" i="4"/>
  <c r="W265" i="4"/>
  <c r="L51" i="2"/>
  <c r="D50" i="2"/>
  <c r="E50" i="2"/>
  <c r="F50" i="2"/>
  <c r="G50" i="2"/>
  <c r="H50" i="2"/>
  <c r="J50" i="2"/>
  <c r="K50" i="2"/>
  <c r="L50" i="2"/>
  <c r="N50" i="2"/>
  <c r="D49" i="2"/>
  <c r="D51" i="2" s="1"/>
  <c r="E49" i="2"/>
  <c r="E51" i="2" s="1"/>
  <c r="F49" i="2"/>
  <c r="F51" i="2" s="1"/>
  <c r="G49" i="2"/>
  <c r="G51" i="2" s="1"/>
  <c r="H49" i="2"/>
  <c r="H51" i="2" s="1"/>
  <c r="I49" i="2"/>
  <c r="I51" i="2" s="1"/>
  <c r="J49" i="2"/>
  <c r="J51" i="2" s="1"/>
  <c r="K49" i="2"/>
  <c r="K51" i="2" s="1"/>
  <c r="L49" i="2"/>
  <c r="M49" i="2"/>
  <c r="M51" i="2" s="1"/>
  <c r="N49" i="2"/>
  <c r="N51" i="2" s="1"/>
  <c r="C49" i="2"/>
  <c r="C51" i="2" s="1"/>
  <c r="M43" i="2"/>
  <c r="M48" i="2" s="1"/>
  <c r="M50" i="2" s="1"/>
  <c r="J43" i="2"/>
  <c r="J48" i="2" s="1"/>
  <c r="I43" i="2"/>
  <c r="I48" i="2" s="1"/>
  <c r="I50" i="2" s="1"/>
  <c r="C43" i="2"/>
  <c r="C48" i="2" s="1"/>
  <c r="C50" i="2" s="1"/>
  <c r="D28" i="2"/>
  <c r="E28" i="2"/>
  <c r="F28" i="2"/>
  <c r="G28" i="2"/>
  <c r="H28" i="2"/>
  <c r="I28" i="2"/>
  <c r="J28" i="2"/>
  <c r="K28" i="2"/>
  <c r="L28" i="2"/>
  <c r="M28" i="2"/>
  <c r="N28" i="2"/>
  <c r="C28" i="2"/>
  <c r="Y16" i="2"/>
  <c r="Y17" i="2"/>
  <c r="Y18" i="2"/>
  <c r="Y19" i="2"/>
  <c r="Y15" i="2"/>
  <c r="F48" i="5"/>
  <c r="F46" i="5"/>
  <c r="X34" i="5"/>
  <c r="X35" i="5"/>
  <c r="X36" i="5"/>
  <c r="X37" i="5"/>
  <c r="X33" i="5"/>
  <c r="AD27" i="5"/>
  <c r="AD28" i="5"/>
  <c r="AD29" i="5"/>
  <c r="AD26" i="5"/>
  <c r="C36" i="2"/>
  <c r="O6" i="6" l="1"/>
  <c r="E22" i="6"/>
  <c r="O5" i="6"/>
  <c r="E27" i="6"/>
  <c r="O8" i="6"/>
  <c r="E20" i="6"/>
  <c r="AT55" i="2"/>
  <c r="BP7" i="2"/>
  <c r="BP72" i="2"/>
  <c r="AT93" i="2"/>
  <c r="K281" i="4"/>
  <c r="AT72" i="2"/>
  <c r="W274" i="4"/>
  <c r="BP55" i="2"/>
  <c r="W266" i="4"/>
  <c r="W264" i="4"/>
  <c r="W263" i="4"/>
  <c r="AT28" i="2"/>
  <c r="AT7" i="2"/>
  <c r="BP28" i="2"/>
  <c r="G45" i="1" l="1"/>
  <c r="D41" i="2" l="1"/>
  <c r="D45" i="2" s="1"/>
  <c r="D47" i="2" s="1"/>
  <c r="E41" i="2"/>
  <c r="E45" i="2" s="1"/>
  <c r="E47" i="2" s="1"/>
  <c r="F41" i="2"/>
  <c r="F45" i="2" s="1"/>
  <c r="F47" i="2" s="1"/>
  <c r="G41" i="2"/>
  <c r="G45" i="2" s="1"/>
  <c r="G47" i="2" s="1"/>
  <c r="H41" i="2"/>
  <c r="H45" i="2" s="1"/>
  <c r="H47" i="2" s="1"/>
  <c r="I41" i="2"/>
  <c r="I45" i="2" s="1"/>
  <c r="I47" i="2" s="1"/>
  <c r="J41" i="2"/>
  <c r="J45" i="2" s="1"/>
  <c r="J47" i="2" s="1"/>
  <c r="K41" i="2"/>
  <c r="K45" i="2" s="1"/>
  <c r="K47" i="2" s="1"/>
  <c r="L41" i="2"/>
  <c r="L45" i="2" s="1"/>
  <c r="L47" i="2" s="1"/>
  <c r="M41" i="2"/>
  <c r="M45" i="2" s="1"/>
  <c r="M47" i="2" s="1"/>
  <c r="N41" i="2"/>
  <c r="N45" i="2" s="1"/>
  <c r="N47" i="2" s="1"/>
  <c r="C41" i="2"/>
  <c r="C45" i="2" s="1"/>
  <c r="C47" i="2" s="1"/>
  <c r="D23" i="2"/>
  <c r="D36" i="2" s="1"/>
  <c r="E23" i="2"/>
  <c r="E36" i="2" s="1"/>
  <c r="F23" i="2"/>
  <c r="F36" i="2" s="1"/>
  <c r="G23" i="2"/>
  <c r="G36" i="2" s="1"/>
  <c r="H23" i="2"/>
  <c r="H36" i="2" s="1"/>
  <c r="I23" i="2"/>
  <c r="I36" i="2" s="1"/>
  <c r="J23" i="2"/>
  <c r="J36" i="2" s="1"/>
  <c r="K23" i="2"/>
  <c r="K36" i="2" s="1"/>
  <c r="L23" i="2"/>
  <c r="L36" i="2" s="1"/>
  <c r="M23" i="2"/>
  <c r="M36" i="2" s="1"/>
  <c r="N23" i="2"/>
  <c r="N36" i="2" s="1"/>
  <c r="C23" i="2"/>
  <c r="H56" i="2" l="1"/>
  <c r="G56" i="2"/>
  <c r="E56" i="2"/>
  <c r="C56" i="2"/>
  <c r="F56" i="2"/>
  <c r="D56" i="2"/>
  <c r="D38" i="2"/>
  <c r="E38" i="2"/>
  <c r="F38" i="2"/>
  <c r="G38" i="2"/>
  <c r="H38" i="2"/>
  <c r="I38" i="2"/>
  <c r="J38" i="2"/>
  <c r="K38" i="2"/>
  <c r="L38" i="2"/>
  <c r="M38" i="2"/>
  <c r="N38" i="2"/>
  <c r="D22" i="2" l="1"/>
  <c r="E22" i="2"/>
  <c r="F22" i="2"/>
  <c r="G22" i="2"/>
  <c r="H22" i="2"/>
  <c r="I22" i="2"/>
  <c r="J22" i="2"/>
  <c r="K22" i="2"/>
  <c r="L22" i="2"/>
  <c r="M22" i="2"/>
  <c r="N22" i="2"/>
  <c r="C22" i="2"/>
  <c r="J21" i="2"/>
  <c r="K21" i="2"/>
  <c r="L21" i="2"/>
  <c r="M21" i="2"/>
  <c r="N21" i="2"/>
  <c r="D21" i="2"/>
  <c r="E21" i="2"/>
  <c r="F21" i="2"/>
  <c r="G21" i="2"/>
  <c r="H21" i="2"/>
  <c r="I21" i="2"/>
  <c r="C21" i="2"/>
  <c r="N35" i="2" l="1"/>
  <c r="N40" i="2"/>
  <c r="I35" i="2"/>
  <c r="I40" i="2"/>
  <c r="M40" i="2"/>
  <c r="M44" i="2" s="1"/>
  <c r="M46" i="2" s="1"/>
  <c r="M35" i="2"/>
  <c r="L35" i="2"/>
  <c r="L40" i="2"/>
  <c r="J35" i="2"/>
  <c r="J40" i="2"/>
  <c r="J44" i="2" s="1"/>
  <c r="J46" i="2" s="1"/>
  <c r="H35" i="2"/>
  <c r="H40" i="2"/>
  <c r="G40" i="2"/>
  <c r="G35" i="2"/>
  <c r="K40" i="2"/>
  <c r="K35" i="2"/>
  <c r="F40" i="2"/>
  <c r="F35" i="2"/>
  <c r="C40" i="2"/>
  <c r="C44" i="2" s="1"/>
  <c r="C46" i="2" s="1"/>
  <c r="E40" i="2"/>
  <c r="E44" i="2" s="1"/>
  <c r="E46" i="2" s="1"/>
  <c r="E35" i="2"/>
  <c r="D40" i="2"/>
  <c r="D35" i="2"/>
  <c r="G47" i="1"/>
  <c r="AT71" i="2" l="1"/>
  <c r="L44" i="2"/>
  <c r="L46" i="2" s="1"/>
  <c r="BP71" i="2"/>
  <c r="D44" i="2"/>
  <c r="D46" i="2" s="1"/>
  <c r="AT6" i="2"/>
  <c r="H44" i="2"/>
  <c r="H46" i="2" s="1"/>
  <c r="AT54" i="2"/>
  <c r="I44" i="2"/>
  <c r="I46" i="2" s="1"/>
  <c r="BP54" i="2"/>
  <c r="G44" i="2"/>
  <c r="G46" i="2" s="1"/>
  <c r="BP27" i="2"/>
  <c r="AT92" i="2"/>
  <c r="F44" i="2"/>
  <c r="F46" i="2" s="1"/>
  <c r="AT27" i="2"/>
  <c r="N44" i="2"/>
  <c r="N46" i="2" s="1"/>
  <c r="K44" i="2"/>
  <c r="K46" i="2" s="1"/>
  <c r="BP6" i="2"/>
  <c r="J36" i="1"/>
  <c r="K36" i="1"/>
  <c r="K37" i="1"/>
  <c r="J37" i="1"/>
  <c r="I37" i="1"/>
  <c r="H37" i="1"/>
  <c r="G37" i="1"/>
  <c r="F37" i="1"/>
  <c r="I36" i="1"/>
  <c r="G36" i="1"/>
  <c r="H36" i="1"/>
  <c r="F36" i="1"/>
  <c r="K41" i="1" l="1"/>
  <c r="G41" i="1"/>
  <c r="Y25" i="1"/>
  <c r="Y26" i="1"/>
  <c r="Y27" i="1"/>
  <c r="Y24" i="1"/>
  <c r="K4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<sst xmlns="http://schemas.openxmlformats.org/spreadsheetml/2006/main" count="999" uniqueCount="477">
  <si>
    <t>Group Project</t>
  </si>
  <si>
    <t>TASK 1</t>
  </si>
  <si>
    <t>1. Carry out a thermodynamic analysis of the system by using the software Aspen Plus® or a similar one. In particular, the following quantities need to be found:</t>
  </si>
  <si>
    <t>1.1 Calculation of energy and mass streams. Definition of the thermodynamic state of each stream (calculation of temperature, pressure, enthalpy and entropy of each material stream).</t>
  </si>
  <si>
    <t xml:space="preserve">scheme of the reference plant </t>
  </si>
  <si>
    <t>Temperature (K)</t>
  </si>
  <si>
    <t>Pressure (bar)</t>
  </si>
  <si>
    <t>Mass flow rate (kg/s)</t>
  </si>
  <si>
    <t>PROPERTIES</t>
  </si>
  <si>
    <t>O2</t>
  </si>
  <si>
    <t>N2</t>
  </si>
  <si>
    <t>spec. enthalpy (J/kg)</t>
  </si>
  <si>
    <t>spec. entropy (J/(kg*K))</t>
  </si>
  <si>
    <t>SUBSTANCES</t>
  </si>
  <si>
    <t>AIR</t>
  </si>
  <si>
    <t>METHANE</t>
  </si>
  <si>
    <t>H2O</t>
  </si>
  <si>
    <t>CH4</t>
  </si>
  <si>
    <t>CO2</t>
  </si>
  <si>
    <t>CONSTITUENTS (molar frac)</t>
  </si>
  <si>
    <t>sum(must be 1)</t>
  </si>
  <si>
    <t>COMPONENT</t>
  </si>
  <si>
    <t>CODE</t>
  </si>
  <si>
    <t>FLUE GASSES (from CC1)</t>
  </si>
  <si>
    <t>FLUE GASSES (from CC2)</t>
  </si>
  <si>
    <t>MATERIAL STREAMS (black number in the scheme)</t>
  </si>
  <si>
    <t>Compressor I stage</t>
  </si>
  <si>
    <t>Compressor II stage</t>
  </si>
  <si>
    <t>Intercooler I stage</t>
  </si>
  <si>
    <t>Intercooler II stage</t>
  </si>
  <si>
    <t>High pressure turbine</t>
  </si>
  <si>
    <t>Low pressure turbine</t>
  </si>
  <si>
    <t>MCPR1</t>
  </si>
  <si>
    <t>MCPR2</t>
  </si>
  <si>
    <t>INTER-COOL 1</t>
  </si>
  <si>
    <t>INTER-COOL 2</t>
  </si>
  <si>
    <t>VALVE</t>
  </si>
  <si>
    <t>HP-TURB</t>
  </si>
  <si>
    <t>LP-TURB</t>
  </si>
  <si>
    <t>computed as G*(h_out-h_in)</t>
  </si>
  <si>
    <t>directly from aspen</t>
  </si>
  <si>
    <t>ENERGY STREAMS (red number in the scheme)</t>
  </si>
  <si>
    <t>TASK 2</t>
  </si>
  <si>
    <t>Perform the exergy analysis of the system with the aim to calculate the physical and chemical exergy of the different streams and the exergy destroyed in the different components.</t>
  </si>
  <si>
    <t>entropy dead state (kj/kmol)</t>
  </si>
  <si>
    <t>Molar flow rate (Kmol/s)</t>
  </si>
  <si>
    <t>enthalpy dead state (kj/kmol)*</t>
  </si>
  <si>
    <t>*dead state T=25°C, P=1bar</t>
  </si>
  <si>
    <t>PHYSICAL EXERGY DEFINITION</t>
  </si>
  <si>
    <t>1 (MWe)</t>
  </si>
  <si>
    <t>5 (MWe)</t>
  </si>
  <si>
    <t>6 (MWe)</t>
  </si>
  <si>
    <t>Tot power output [MWe]</t>
  </si>
  <si>
    <t>Power inlet compessors [Mwe]</t>
  </si>
  <si>
    <t>Power of the fuel [MW]</t>
  </si>
  <si>
    <t>LHV (CH4) [MJ/kg]</t>
  </si>
  <si>
    <t>Plant efficiency</t>
  </si>
  <si>
    <t>Physical exergy (kJ/kg) from aspen data</t>
  </si>
  <si>
    <t>specific enthalpy dead state (kJ/kg)</t>
  </si>
  <si>
    <t>molar enthalpy dead state (kJ/kmol)</t>
  </si>
  <si>
    <t>molar entropy dead state (kJ/kmol/K)</t>
  </si>
  <si>
    <t>specific entropy dead state (kJ/kg/K)</t>
  </si>
  <si>
    <t>Combustion chamber HP</t>
  </si>
  <si>
    <t>HPCC</t>
  </si>
  <si>
    <t>Combustion chamber LP</t>
  </si>
  <si>
    <t>LPCC</t>
  </si>
  <si>
    <t>COMPOSITION (mol frac)</t>
  </si>
  <si>
    <t>b(T,p)=[h(T,p)-h(T0,p0)]-T0*[s(T,p)-s(T0,p0)]</t>
  </si>
  <si>
    <t>spec. enthalpy (kJ/kg)</t>
  </si>
  <si>
    <t>spec. entropy (kJ/(kg*K))</t>
  </si>
  <si>
    <t>Physical exergy (kJ/kmol) directly computed by aspen</t>
  </si>
  <si>
    <t>Physical exergy (kJ/kg) directly computed by aspen</t>
  </si>
  <si>
    <t>CHEMICAL EXERGY DEFINITION</t>
  </si>
  <si>
    <t>ζ0=h(T0,p0)-T0*s(T0,p0)</t>
  </si>
  <si>
    <t>Chemical exergy(kJ/kg) computed from aspen data</t>
  </si>
  <si>
    <t>strange values</t>
  </si>
  <si>
    <t>CMPR 1</t>
  </si>
  <si>
    <t>CMPR2</t>
  </si>
  <si>
    <t>INTER-COOL1</t>
  </si>
  <si>
    <t>2 (MWth)</t>
  </si>
  <si>
    <t>3 (MWe)</t>
  </si>
  <si>
    <t>4 (MWth)</t>
  </si>
  <si>
    <t>2 (kWth)</t>
  </si>
  <si>
    <t>4 (kWth)</t>
  </si>
  <si>
    <r>
      <t xml:space="preserve">INTERNAL POWER (no </t>
    </r>
    <r>
      <rPr>
        <sz val="28"/>
        <color theme="1"/>
        <rFont val="Calibri"/>
        <family val="2"/>
      </rPr>
      <t>η</t>
    </r>
    <r>
      <rPr>
        <sz val="25.2"/>
        <color theme="1"/>
        <rFont val="Calibri"/>
        <family val="2"/>
      </rPr>
      <t>=0.98)</t>
    </r>
    <r>
      <rPr>
        <sz val="28"/>
        <color theme="1"/>
        <rFont val="Calibri"/>
        <family val="2"/>
        <scheme val="minor"/>
      </rPr>
      <t>?</t>
    </r>
  </si>
  <si>
    <t>considering electrical power</t>
  </si>
  <si>
    <t>ψirr [kW]</t>
  </si>
  <si>
    <t>1 (KWe)</t>
  </si>
  <si>
    <t>3 (kWe)</t>
  </si>
  <si>
    <t>5 (kWe)</t>
  </si>
  <si>
    <t>6 (kWe)</t>
  </si>
  <si>
    <t>Irr CMPR1</t>
  </si>
  <si>
    <t>Irr CMPR2</t>
  </si>
  <si>
    <t>Irr INT-COOL1</t>
  </si>
  <si>
    <t>Irr INT-COOL2</t>
  </si>
  <si>
    <t>Irr VALVE</t>
  </si>
  <si>
    <t>Irr HPCC</t>
  </si>
  <si>
    <t>Irr LPCC</t>
  </si>
  <si>
    <t>Irr HP-TURB</t>
  </si>
  <si>
    <t>Irr LP-TURB</t>
  </si>
  <si>
    <t>or alternatively</t>
  </si>
  <si>
    <t>CMPR1</t>
  </si>
  <si>
    <t>INTER-COOL2</t>
  </si>
  <si>
    <t>w CMPR1</t>
  </si>
  <si>
    <r>
      <rPr>
        <sz val="11"/>
        <color theme="1"/>
        <rFont val="Calibri"/>
        <family val="2"/>
      </rPr>
      <t>ɸ</t>
    </r>
    <r>
      <rPr>
        <sz val="11"/>
        <color theme="1"/>
        <rFont val="Calibri"/>
        <family val="2"/>
        <scheme val="minor"/>
      </rPr>
      <t xml:space="preserve"> INTER-COOL1</t>
    </r>
  </si>
  <si>
    <t>w CMPR2</t>
  </si>
  <si>
    <t>ɸ INTER-COOL2</t>
  </si>
  <si>
    <t>w HP_TURB</t>
  </si>
  <si>
    <t>w LP-TURB</t>
  </si>
  <si>
    <t>Phisical exergy (kJ/kmol) from aspen data</t>
  </si>
  <si>
    <t>molar enthalpy  (kJ/kmol)</t>
  </si>
  <si>
    <t>molar entropy (kJ/kmol/K)</t>
  </si>
  <si>
    <t>Chemical exergy(kJ/kmol) computed from aspen data</t>
  </si>
  <si>
    <t>Component</t>
  </si>
  <si>
    <t xml:space="preserve">streams material </t>
  </si>
  <si>
    <t>energy streams</t>
  </si>
  <si>
    <t xml:space="preserve">MASS CONSERVATION </t>
  </si>
  <si>
    <t>[A]*G=[0]</t>
  </si>
  <si>
    <t xml:space="preserve">IRREVERSIBILITIES </t>
  </si>
  <si>
    <t>[A]*[E]=[I]</t>
  </si>
  <si>
    <t>IRREVERSIBILITIES VECTOR</t>
  </si>
  <si>
    <t>I(nx1)</t>
  </si>
  <si>
    <t>Total specific exergy (kJ/kg)</t>
  </si>
  <si>
    <t>Total molar exergy (kJ/kmol)</t>
  </si>
  <si>
    <t>Total exergy (kW)</t>
  </si>
  <si>
    <t>Exergy (kW)</t>
  </si>
  <si>
    <t>Irreversibilities (kW)</t>
  </si>
  <si>
    <t>verified</t>
  </si>
  <si>
    <t xml:space="preserve">Cavern </t>
  </si>
  <si>
    <t>CAV</t>
  </si>
  <si>
    <t>Valve</t>
  </si>
  <si>
    <t>LHV (CH4) [J/kmol]</t>
  </si>
  <si>
    <t>MW natural gas</t>
  </si>
  <si>
    <t>Molar mass (kg/kmol)</t>
  </si>
  <si>
    <t>verified with the values found in task 2</t>
  </si>
  <si>
    <t>ENERGY CONSERVATION</t>
  </si>
  <si>
    <t>[A]*U=[0]</t>
  </si>
  <si>
    <t>Energy (kW)</t>
  </si>
  <si>
    <t>not verified yet</t>
  </si>
  <si>
    <t>P1,1</t>
  </si>
  <si>
    <t>P1,2</t>
  </si>
  <si>
    <t>P1,3</t>
  </si>
  <si>
    <t>E7</t>
  </si>
  <si>
    <t>P2,1</t>
  </si>
  <si>
    <t>P3,1</t>
  </si>
  <si>
    <t>P1,4</t>
  </si>
  <si>
    <t>P1,5</t>
  </si>
  <si>
    <t>auxiliari equation</t>
  </si>
  <si>
    <t>E1*=E1</t>
  </si>
  <si>
    <t>E7*=E7</t>
  </si>
  <si>
    <t>E10*=E10</t>
  </si>
  <si>
    <t>E13*=E13</t>
  </si>
  <si>
    <t>E15*=E15</t>
  </si>
  <si>
    <t>E13</t>
  </si>
  <si>
    <t>E15</t>
  </si>
  <si>
    <t>E12*=0</t>
  </si>
  <si>
    <t>P2,2</t>
  </si>
  <si>
    <t>P2,3</t>
  </si>
  <si>
    <t>E16*=0</t>
  </si>
  <si>
    <t>E14*=0</t>
  </si>
  <si>
    <t xml:space="preserve"> -(E9 / E8)*E8*+E9*</t>
  </si>
  <si>
    <t>Carry out the exergo-economic analysis of the system with the aim to define the following quantities:</t>
  </si>
  <si>
    <t>4.1 Cost matrix and vector of external assessment including the cost rates of different components</t>
  </si>
  <si>
    <t>4.2 Productive structure of the system</t>
  </si>
  <si>
    <t>4.3 Exergo-economic cost of the different streams with particular regard to the products</t>
  </si>
  <si>
    <t>Task 4</t>
  </si>
  <si>
    <t>Cost matrix and vector of external assesments</t>
  </si>
  <si>
    <t>Ac</t>
  </si>
  <si>
    <t>absolute values</t>
  </si>
  <si>
    <t>Productive structure of the system</t>
  </si>
  <si>
    <t>F</t>
  </si>
  <si>
    <t>P</t>
  </si>
  <si>
    <t>D or L</t>
  </si>
  <si>
    <t>F=fuel or resource</t>
  </si>
  <si>
    <t>P=product</t>
  </si>
  <si>
    <t>D=discharged flow or lost</t>
  </si>
  <si>
    <t>E2-E1</t>
  </si>
  <si>
    <t>//</t>
  </si>
  <si>
    <t>E4-E3</t>
  </si>
  <si>
    <t>E2</t>
  </si>
  <si>
    <t>E3</t>
  </si>
  <si>
    <t>E14</t>
  </si>
  <si>
    <t>E4</t>
  </si>
  <si>
    <t>E5</t>
  </si>
  <si>
    <t>E16</t>
  </si>
  <si>
    <t>E6</t>
  </si>
  <si>
    <t>E8-E6</t>
  </si>
  <si>
    <t>E10</t>
  </si>
  <si>
    <t>E11-E9</t>
  </si>
  <si>
    <t>E8-E9</t>
  </si>
  <si>
    <t>E17</t>
  </si>
  <si>
    <t>E11</t>
  </si>
  <si>
    <t>E18</t>
  </si>
  <si>
    <t>E12</t>
  </si>
  <si>
    <t>13=Electrical power requested from MCPR 1</t>
  </si>
  <si>
    <t>14=Heat coming out INTER-COOL 1</t>
  </si>
  <si>
    <t>15=Electrical power requested from MCPR 2</t>
  </si>
  <si>
    <t>16=Heat coming out INTER-COOL 2</t>
  </si>
  <si>
    <t>17= Electrical power produced by HP-TURB</t>
  </si>
  <si>
    <t>18=Electrical power produced by LP-TURB</t>
  </si>
  <si>
    <t>Evaluation of chemical exergy for each streams</t>
  </si>
  <si>
    <t>Chemical exergy--&gt;meaningful values (POTENTIAL OF WORK PRODUCTION)</t>
  </si>
  <si>
    <t>Different elements in my system</t>
  </si>
  <si>
    <t>oxygen</t>
  </si>
  <si>
    <t>hydrogen</t>
  </si>
  <si>
    <t>carbon</t>
  </si>
  <si>
    <t>nitrogen</t>
  </si>
  <si>
    <t>O</t>
  </si>
  <si>
    <t>H</t>
  </si>
  <si>
    <t>C</t>
  </si>
  <si>
    <t>N</t>
  </si>
  <si>
    <t>Substances</t>
  </si>
  <si>
    <t>H20</t>
  </si>
  <si>
    <t>Streams in my system</t>
  </si>
  <si>
    <t>Methane</t>
  </si>
  <si>
    <t>Air</t>
  </si>
  <si>
    <t>Flue gasses from combustion chamber 1</t>
  </si>
  <si>
    <t>Flue gasses from combustion chamber 2</t>
  </si>
  <si>
    <t>Reference system</t>
  </si>
  <si>
    <t>chemical exergy of air =0</t>
  </si>
  <si>
    <t>ζ0,air =0</t>
  </si>
  <si>
    <t>chemical exergy ζ0</t>
  </si>
  <si>
    <t>molar fraction (from aspen)</t>
  </si>
  <si>
    <t>Molar weight MW (kg/kmol)</t>
  </si>
  <si>
    <t>Universal gas constant</t>
  </si>
  <si>
    <t>Specifi gas constant R (kJ/kg/K)</t>
  </si>
  <si>
    <t>Universal gas constant R_ (kJ/kmol/K)</t>
  </si>
  <si>
    <t>Dead state</t>
  </si>
  <si>
    <t xml:space="preserve">since I fixed it as a reference </t>
  </si>
  <si>
    <t>ζ0,N2=-RN2*T0*ln(yN2)=</t>
  </si>
  <si>
    <t>ζ0,O2=-RO2*T0*ln(yO2)=</t>
  </si>
  <si>
    <t>K</t>
  </si>
  <si>
    <t>P0=</t>
  </si>
  <si>
    <t>bar</t>
  </si>
  <si>
    <t>T0=</t>
  </si>
  <si>
    <t>kJ/kg</t>
  </si>
  <si>
    <t>R</t>
  </si>
  <si>
    <t>MW(kg/kmol)</t>
  </si>
  <si>
    <t>R (kJ/kg/K)</t>
  </si>
  <si>
    <t>CHEMICAL EXERGY OF AIR AND OF ITS ELEMENTS</t>
  </si>
  <si>
    <t>CHEMICAL EXERGY OF METHANE</t>
  </si>
  <si>
    <t>h0-T0*s0</t>
  </si>
  <si>
    <t>Chemical exergy(kJ/kmol) using standard che.exergy</t>
  </si>
  <si>
    <t>standard chemical exergy (kJ/mol)</t>
  </si>
  <si>
    <t>standard chemical exergy (kJ/kmol)</t>
  </si>
  <si>
    <t>H2O(g)</t>
  </si>
  <si>
    <t>T0</t>
  </si>
  <si>
    <t>P0</t>
  </si>
  <si>
    <t>kJ/kmol/K</t>
  </si>
  <si>
    <t>Gas constant R (kJ/kg/K)</t>
  </si>
  <si>
    <t>Chemical exergy(kJ/kg) using standard che.exergy</t>
  </si>
  <si>
    <t>dead state</t>
  </si>
  <si>
    <t>Incidence Matrix</t>
  </si>
  <si>
    <t>A</t>
  </si>
  <si>
    <t>G</t>
  </si>
  <si>
    <t>U</t>
  </si>
  <si>
    <t>E</t>
  </si>
  <si>
    <t>mass vector</t>
  </si>
  <si>
    <t>energy vector</t>
  </si>
  <si>
    <t>exergy vector</t>
  </si>
  <si>
    <r>
      <t>Ye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(kW)</t>
    </r>
  </si>
  <si>
    <r>
      <t>E*</t>
    </r>
    <r>
      <rPr>
        <sz val="11"/>
        <color theme="1"/>
        <rFont val="Calibri"/>
        <family val="2"/>
        <scheme val="minor"/>
      </rPr>
      <t>(kW)</t>
    </r>
  </si>
  <si>
    <t>k*</t>
  </si>
  <si>
    <t>Cost of components</t>
  </si>
  <si>
    <t>Centrifugal, axial, and reciprocating</t>
  </si>
  <si>
    <t>power kW</t>
  </si>
  <si>
    <t>min</t>
  </si>
  <si>
    <t>max</t>
  </si>
  <si>
    <t>Type:</t>
  </si>
  <si>
    <t>k1:</t>
  </si>
  <si>
    <t>k2:</t>
  </si>
  <si>
    <t>k3:</t>
  </si>
  <si>
    <t>Cp°</t>
  </si>
  <si>
    <t>size A:</t>
  </si>
  <si>
    <t>scale effect</t>
  </si>
  <si>
    <t>(six-tenths rule)</t>
  </si>
  <si>
    <t>Cp°=10^(k1+k2Log(Amax)+k3(LogAmax)^2)=</t>
  </si>
  <si>
    <t>Cp°'=Cp°*(A'/A)^n=</t>
  </si>
  <si>
    <t>n:</t>
  </si>
  <si>
    <t>A':</t>
  </si>
  <si>
    <t>Fp</t>
  </si>
  <si>
    <t>c1:</t>
  </si>
  <si>
    <t>c2:</t>
  </si>
  <si>
    <t>c3:</t>
  </si>
  <si>
    <t>no size A</t>
  </si>
  <si>
    <t>Fp=10^(c1+c2*Log(A)+c3*(Log(A))^2)=</t>
  </si>
  <si>
    <t>Fm</t>
  </si>
  <si>
    <t>$</t>
  </si>
  <si>
    <t>Centrifugal compressor made of Carbon steel</t>
  </si>
  <si>
    <t>Fm:</t>
  </si>
  <si>
    <t xml:space="preserve">Cbec(2001$) </t>
  </si>
  <si>
    <t>floating head</t>
  </si>
  <si>
    <t>Area m^2</t>
  </si>
  <si>
    <t>other fluid:</t>
  </si>
  <si>
    <t>water</t>
  </si>
  <si>
    <t>G(kg/s):</t>
  </si>
  <si>
    <t>ɸ(kW):</t>
  </si>
  <si>
    <t>inlet temp(K):</t>
  </si>
  <si>
    <t>T2(K):</t>
  </si>
  <si>
    <t>U(kW/m^2):</t>
  </si>
  <si>
    <t>outlet temp(K):</t>
  </si>
  <si>
    <t>cp water(kJ/kg/K):</t>
  </si>
  <si>
    <r>
      <t>Δ</t>
    </r>
    <r>
      <rPr>
        <sz val="9.15"/>
        <color theme="1"/>
        <rFont val="Calibri"/>
        <family val="2"/>
      </rPr>
      <t>Tm,log:</t>
    </r>
  </si>
  <si>
    <t>Every info has been taken from Turton cost function paper</t>
  </si>
  <si>
    <t xml:space="preserve"> 4 heat exchanger</t>
  </si>
  <si>
    <t>or</t>
  </si>
  <si>
    <t>CS for both shell and tubes</t>
  </si>
  <si>
    <t>T3(K):</t>
  </si>
  <si>
    <t>T4(K):</t>
  </si>
  <si>
    <t>T5(K):</t>
  </si>
  <si>
    <t xml:space="preserve"> 3 heat exchanger</t>
  </si>
  <si>
    <t>size P</t>
  </si>
  <si>
    <t>CAVERN</t>
  </si>
  <si>
    <t>from literature</t>
  </si>
  <si>
    <t>Cbec($/kW)</t>
  </si>
  <si>
    <t>Total power</t>
  </si>
  <si>
    <t>Cbec$</t>
  </si>
  <si>
    <t>Combustion process:</t>
  </si>
  <si>
    <t xml:space="preserve">But I don't know ζ0,H2O and ζ0,CO2 since I've not included them in the composition of the air... </t>
  </si>
  <si>
    <t>from that I can calculate chemical exergy of different substances that make up the air itself</t>
  </si>
  <si>
    <t>???</t>
  </si>
  <si>
    <t>h0 from aspen</t>
  </si>
  <si>
    <t>s0 from aspen</t>
  </si>
  <si>
    <t>chemical ex. h0-T0s0</t>
  </si>
  <si>
    <t>ALTERNATIVELY</t>
  </si>
  <si>
    <t>guess value</t>
  </si>
  <si>
    <t>since no reference</t>
  </si>
  <si>
    <t>type:</t>
  </si>
  <si>
    <t>Axial gas turbine</t>
  </si>
  <si>
    <t>size P:</t>
  </si>
  <si>
    <t>power recovery equipment</t>
  </si>
  <si>
    <t>I use SS(stainless steel)</t>
  </si>
  <si>
    <t>Fp=10^(c1+c2*Log(P)+c3*(Log(P))^2)=</t>
  </si>
  <si>
    <t>no size P</t>
  </si>
  <si>
    <t>process vessel horinzotal</t>
  </si>
  <si>
    <t>volume m^3</t>
  </si>
  <si>
    <t>Volumetric inlet flow rate:</t>
  </si>
  <si>
    <t>Volumetric outlet flow rate:</t>
  </si>
  <si>
    <t>Average Volumetric flow rate:</t>
  </si>
  <si>
    <t>Residence Time:</t>
  </si>
  <si>
    <t>SCALE EFFECT</t>
  </si>
  <si>
    <t>s</t>
  </si>
  <si>
    <t>Volume of HPCC:</t>
  </si>
  <si>
    <t>Diameter D(m):</t>
  </si>
  <si>
    <t>Length L(m):</t>
  </si>
  <si>
    <t>pressure P(bar):</t>
  </si>
  <si>
    <t>SS material</t>
  </si>
  <si>
    <t xml:space="preserve">Assuming a cylindrical vessel </t>
  </si>
  <si>
    <t>Volumetric flow rate (m^3/s)</t>
  </si>
  <si>
    <t>B1</t>
  </si>
  <si>
    <t>B2</t>
  </si>
  <si>
    <t>air</t>
  </si>
  <si>
    <t>gas</t>
  </si>
  <si>
    <t>tot</t>
  </si>
  <si>
    <t>Cp°=10^(k1+k2Log(Amin)+k3(LogAmin)^2)=</t>
  </si>
  <si>
    <t>Fp:</t>
  </si>
  <si>
    <t>LP-TRUB</t>
  </si>
  <si>
    <t>Tmax(K)</t>
  </si>
  <si>
    <t>CEPCI(2001)</t>
  </si>
  <si>
    <t>Cbec(2019$)</t>
  </si>
  <si>
    <t>* https://www.chemengonline.com/2019-chemical-engineering-plant-cost-index-annual-average/</t>
  </si>
  <si>
    <t>CEPCI(2019)*</t>
  </si>
  <si>
    <t>of Cbec</t>
  </si>
  <si>
    <t>of EPCC</t>
  </si>
  <si>
    <t>of TPC</t>
  </si>
  <si>
    <t>EPCC(2019$)</t>
  </si>
  <si>
    <t>TPC(2019$)</t>
  </si>
  <si>
    <t>TOC(2019$)</t>
  </si>
  <si>
    <t>EQUITY</t>
  </si>
  <si>
    <t>DEBTS</t>
  </si>
  <si>
    <t>Rf</t>
  </si>
  <si>
    <t>Rm</t>
  </si>
  <si>
    <t>Rs</t>
  </si>
  <si>
    <t>β</t>
  </si>
  <si>
    <t>Ke</t>
  </si>
  <si>
    <t>IRS</t>
  </si>
  <si>
    <t>SPREAD</t>
  </si>
  <si>
    <t>Kd</t>
  </si>
  <si>
    <t>WACC</t>
  </si>
  <si>
    <t>Financial structure</t>
  </si>
  <si>
    <t>cost of equity</t>
  </si>
  <si>
    <t>cost of debts</t>
  </si>
  <si>
    <t>ANNUITY($/year)</t>
  </si>
  <si>
    <t>n estimated life of the plant (year)</t>
  </si>
  <si>
    <t>EXERGO-ECONOMIC ANALYSIS</t>
  </si>
  <si>
    <t>Availability of the system</t>
  </si>
  <si>
    <t>Hours in a year</t>
  </si>
  <si>
    <t>zi($/s)</t>
  </si>
  <si>
    <r>
      <t>insert point 5' to introduce also the cavern, 5'</t>
    </r>
    <r>
      <rPr>
        <sz val="11"/>
        <color theme="1"/>
        <rFont val="Calibri"/>
        <family val="2"/>
      </rPr>
      <t>≡5</t>
    </r>
  </si>
  <si>
    <t>5'</t>
  </si>
  <si>
    <t>C1=0</t>
  </si>
  <si>
    <t>C7=c7*E7 where c7=nat gas price</t>
  </si>
  <si>
    <t>C10=c10*E10 where c10= nat gas price</t>
  </si>
  <si>
    <t>C13=c13*E13 where c13=electricity price</t>
  </si>
  <si>
    <t>C15=c15*E15 where c15=electricity cost</t>
  </si>
  <si>
    <t>C12=c12*E12=0</t>
  </si>
  <si>
    <t>Gas price</t>
  </si>
  <si>
    <t>Italy</t>
  </si>
  <si>
    <t>North ireland</t>
  </si>
  <si>
    <t>China</t>
  </si>
  <si>
    <t>1€:</t>
  </si>
  <si>
    <t>1GJ:</t>
  </si>
  <si>
    <t>MWh</t>
  </si>
  <si>
    <t>price(€/GJ)</t>
  </si>
  <si>
    <t>price($/MWh)</t>
  </si>
  <si>
    <t>Electricity price</t>
  </si>
  <si>
    <t>info:https://ec.europa.eu/eurostat/tgm/refreshTableAction.do?tab=table&amp;plugin=1&amp;pcode=ten00117&amp;language=en</t>
  </si>
  <si>
    <t>https://ec.europa.eu/eurostat/tgm/table.do?tab=table&amp;init=1&amp;language=en&amp;pcode=ten00118&amp;plugin=1</t>
  </si>
  <si>
    <t>C16=c16*E16=0</t>
  </si>
  <si>
    <t>C14=c14*E14=0</t>
  </si>
  <si>
    <r>
      <t>Ze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20"/>
        <color theme="1"/>
        <rFont val="Calibri"/>
        <family val="2"/>
        <scheme val="minor"/>
      </rPr>
      <t>($/s</t>
    </r>
    <r>
      <rPr>
        <sz val="20"/>
        <color theme="1"/>
        <rFont val="Calibri"/>
        <family val="2"/>
        <scheme val="minor"/>
      </rPr>
      <t>)</t>
    </r>
  </si>
  <si>
    <t>C ($/s)</t>
  </si>
  <si>
    <t>c($/MWh)</t>
  </si>
  <si>
    <t>E(MW)</t>
  </si>
  <si>
    <t>*general ratio</t>
  </si>
  <si>
    <t>C ($/h)</t>
  </si>
  <si>
    <t>products</t>
  </si>
  <si>
    <t>Task 5</t>
  </si>
  <si>
    <t>Apply the design improvement methodology to identify the cost formation process (e.g., thermodynamic or economic source and allocation of cost) of the different streams in the plant including products.</t>
  </si>
  <si>
    <t>Components</t>
  </si>
  <si>
    <t>(productive structure)</t>
  </si>
  <si>
    <t>Unit exergo-economic cost($/MWh)</t>
  </si>
  <si>
    <t>Irreversibilities (MW)</t>
  </si>
  <si>
    <t>Cost of exergy destroyed Cd($/s)</t>
  </si>
  <si>
    <t>Relative cost difference r</t>
  </si>
  <si>
    <t>Exergo-economic factor f</t>
  </si>
  <si>
    <t>Exergy (MW)</t>
  </si>
  <si>
    <t>Exergy vector (MW)</t>
  </si>
  <si>
    <t xml:space="preserve"> -(E9 / E8)C8+C9=0</t>
  </si>
  <si>
    <t>Irr CAVERN</t>
  </si>
  <si>
    <t>Unit cost of resources cf ($/MWh)</t>
  </si>
  <si>
    <t>Unit cost of products cp($/MWh)</t>
  </si>
  <si>
    <t>Cost rate of component z ($/s)</t>
  </si>
  <si>
    <t>Irreversibilities I (MW)</t>
  </si>
  <si>
    <t>Cd+z ($/s)</t>
  </si>
  <si>
    <t>descending order</t>
  </si>
  <si>
    <t>from matlab</t>
  </si>
  <si>
    <t>from matlab as in task 4</t>
  </si>
  <si>
    <t>price(€/kWh)</t>
  </si>
  <si>
    <t>Average cost of electricity</t>
  </si>
  <si>
    <t>Energy produced by LPTURB (MWh/year)</t>
  </si>
  <si>
    <t>Energy produced by HPTURB (MWh/year)</t>
  </si>
  <si>
    <t>Total annuity</t>
  </si>
  <si>
    <t>Total TOC</t>
  </si>
  <si>
    <t>r</t>
  </si>
  <si>
    <t>CARBON TAX SCENARIO</t>
  </si>
  <si>
    <t>HP-COMBUSTION CHAMBER</t>
  </si>
  <si>
    <t>Molar mass [kg/kmol] of CH4</t>
  </si>
  <si>
    <t>Molar mass [kg/kmol] of CO2</t>
  </si>
  <si>
    <t>Mass flow rate [kg/s] of CH4</t>
  </si>
  <si>
    <t>Mass flow rate [kg/s] of CO2</t>
  </si>
  <si>
    <t>Availability [op.hours/hours in a year]</t>
  </si>
  <si>
    <t>Second in an hour</t>
  </si>
  <si>
    <t>Lower heating value of CH4 [MWh/kg]</t>
  </si>
  <si>
    <t>CH4 consumption kg/year</t>
  </si>
  <si>
    <t>CO2 consumption kg/year</t>
  </si>
  <si>
    <t>CO2 consumption ton/year</t>
  </si>
  <si>
    <t>CARBON TAX [$/ton CO2e]</t>
  </si>
  <si>
    <t>CO2 cost $/year</t>
  </si>
  <si>
    <t>CO2 cost per unit mass of CH4</t>
  </si>
  <si>
    <t>CO2 cost per unit of CH4 energy [$/MWh]</t>
  </si>
  <si>
    <t>NEW COST OF NATURAL GAS FOR HPCC [$/MWh]</t>
  </si>
  <si>
    <t>NEW COST OF NATURAL GAS FOR LPCC [$/MWh]</t>
  </si>
  <si>
    <t>Carbon tax</t>
  </si>
  <si>
    <t>New electricity price [$/MWh]</t>
  </si>
  <si>
    <t>New gas price [$/MWh]</t>
  </si>
  <si>
    <t>CO2 cost per year [$/year]</t>
  </si>
  <si>
    <t>CO2 cost per unit energy of CH4 [$/MWh]</t>
  </si>
  <si>
    <t>TARGET</t>
  </si>
  <si>
    <t>insert point 5' to introduce also the cavern, 5'≡5</t>
  </si>
  <si>
    <t>Ze ($/s)</t>
  </si>
  <si>
    <t>ɸ INTER-COOL1</t>
  </si>
  <si>
    <t>E (MW)</t>
  </si>
  <si>
    <t>AVERAGE COST OF ELECTRICITY</t>
  </si>
  <si>
    <t>Comparison Adiabatic CAES electricity price [$/MWh]</t>
  </si>
  <si>
    <t>CO2 cost per unit mass of CH4 [$/kg]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</si>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</sst>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0E+00"/>
    <numFmt numFmtId="166" formatCode="#,##0.000"/>
    <numFmt numFmtId="167" formatCode="0.0000%"/>
    <numFmt numFmtId="168" formatCode="0.0%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28"/>
      <color theme="1"/>
      <name val="Calibri"/>
      <family val="2"/>
      <scheme val="minor"/>
    </font>
    <font>
      <sz val="28"/>
      <color theme="1"/>
      <name val="Calibri"/>
      <family val="2"/>
    </font>
    <font>
      <sz val="25.2"/>
      <color theme="1"/>
      <name val="Calibri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.15"/>
      <color theme="1"/>
      <name val="Calibri"/>
      <family val="2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</cellStyleXfs>
  <cellXfs count="26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11" fontId="0" fillId="0" borderId="1" xfId="0" applyNumberFormat="1" applyBorder="1" applyAlignment="1">
      <alignment horizontal="center"/>
    </xf>
    <xf numFmtId="11" fontId="0" fillId="0" borderId="1" xfId="0" applyNumberFormat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0" fontId="0" fillId="2" borderId="0" xfId="0" applyFill="1"/>
    <xf numFmtId="0" fontId="0" fillId="0" borderId="2" xfId="0" applyFill="1" applyBorder="1"/>
    <xf numFmtId="164" fontId="0" fillId="0" borderId="5" xfId="0" applyNumberFormat="1" applyBorder="1" applyAlignment="1">
      <alignment horizontal="center"/>
    </xf>
    <xf numFmtId="0" fontId="0" fillId="6" borderId="6" xfId="0" applyFill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9" fontId="0" fillId="0" borderId="0" xfId="1" applyFont="1"/>
    <xf numFmtId="0" fontId="0" fillId="0" borderId="1" xfId="0" applyFill="1" applyBorder="1"/>
    <xf numFmtId="0" fontId="0" fillId="0" borderId="5" xfId="0" applyFill="1" applyBorder="1"/>
    <xf numFmtId="0" fontId="0" fillId="0" borderId="15" xfId="0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4" fillId="7" borderId="5" xfId="0" applyFont="1" applyFill="1" applyBorder="1"/>
    <xf numFmtId="0" fontId="0" fillId="7" borderId="6" xfId="0" applyFill="1" applyBorder="1"/>
    <xf numFmtId="0" fontId="0" fillId="0" borderId="6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5" fillId="7" borderId="6" xfId="0" applyFont="1" applyFill="1" applyBorder="1"/>
    <xf numFmtId="0" fontId="6" fillId="0" borderId="1" xfId="0" applyFont="1" applyBorder="1"/>
    <xf numFmtId="0" fontId="0" fillId="0" borderId="1" xfId="0" applyNumberFormat="1" applyBorder="1"/>
    <xf numFmtId="0" fontId="7" fillId="0" borderId="0" xfId="0" applyFont="1"/>
    <xf numFmtId="0" fontId="0" fillId="0" borderId="5" xfId="0" applyBorder="1"/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6" xfId="0" applyBorder="1"/>
    <xf numFmtId="0" fontId="0" fillId="8" borderId="5" xfId="0" applyFill="1" applyBorder="1"/>
    <xf numFmtId="0" fontId="0" fillId="6" borderId="16" xfId="0" applyFill="1" applyBorder="1"/>
    <xf numFmtId="0" fontId="0" fillId="0" borderId="15" xfId="0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2" fillId="0" borderId="0" xfId="0" applyFont="1"/>
    <xf numFmtId="0" fontId="11" fillId="9" borderId="8" xfId="0" applyFont="1" applyFill="1" applyBorder="1"/>
    <xf numFmtId="0" fontId="11" fillId="9" borderId="9" xfId="0" applyFont="1" applyFill="1" applyBorder="1"/>
    <xf numFmtId="0" fontId="11" fillId="9" borderId="12" xfId="0" applyFont="1" applyFill="1" applyBorder="1"/>
    <xf numFmtId="0" fontId="10" fillId="7" borderId="2" xfId="0" applyFont="1" applyFill="1" applyBorder="1"/>
    <xf numFmtId="0" fontId="10" fillId="7" borderId="3" xfId="0" applyFont="1" applyFill="1" applyBorder="1"/>
    <xf numFmtId="0" fontId="10" fillId="7" borderId="4" xfId="0" applyFont="1" applyFill="1" applyBorder="1"/>
    <xf numFmtId="0" fontId="10" fillId="7" borderId="1" xfId="0" applyFont="1" applyFill="1" applyBorder="1"/>
    <xf numFmtId="0" fontId="13" fillId="0" borderId="0" xfId="0" applyNumberFormat="1" applyFont="1" applyBorder="1"/>
    <xf numFmtId="0" fontId="0" fillId="0" borderId="0" xfId="0" applyFill="1" applyBorder="1" applyAlignment="1">
      <alignment horizontal="center"/>
    </xf>
    <xf numFmtId="3" fontId="0" fillId="0" borderId="0" xfId="0" applyNumberFormat="1"/>
    <xf numFmtId="0" fontId="15" fillId="0" borderId="0" xfId="0" applyFont="1"/>
    <xf numFmtId="11" fontId="0" fillId="0" borderId="0" xfId="0" applyNumberFormat="1"/>
    <xf numFmtId="0" fontId="0" fillId="0" borderId="10" xfId="0" applyFill="1" applyBorder="1" applyAlignment="1">
      <alignment horizontal="center"/>
    </xf>
    <xf numFmtId="0" fontId="11" fillId="10" borderId="8" xfId="0" applyFont="1" applyFill="1" applyBorder="1"/>
    <xf numFmtId="0" fontId="0" fillId="10" borderId="13" xfId="0" applyFill="1" applyBorder="1"/>
    <xf numFmtId="0" fontId="0" fillId="10" borderId="9" xfId="0" applyFill="1" applyBorder="1"/>
    <xf numFmtId="0" fontId="11" fillId="10" borderId="11" xfId="0" applyFont="1" applyFill="1" applyBorder="1"/>
    <xf numFmtId="0" fontId="0" fillId="10" borderId="14" xfId="0" applyFill="1" applyBorder="1"/>
    <xf numFmtId="0" fontId="0" fillId="10" borderId="12" xfId="0" applyFill="1" applyBorder="1"/>
    <xf numFmtId="0" fontId="14" fillId="0" borderId="0" xfId="0" applyFont="1"/>
    <xf numFmtId="0" fontId="0" fillId="0" borderId="11" xfId="0" applyFont="1" applyBorder="1"/>
    <xf numFmtId="0" fontId="11" fillId="7" borderId="8" xfId="0" applyFont="1" applyFill="1" applyBorder="1"/>
    <xf numFmtId="0" fontId="11" fillId="7" borderId="13" xfId="0" applyFont="1" applyFill="1" applyBorder="1"/>
    <xf numFmtId="0" fontId="11" fillId="7" borderId="11" xfId="0" applyFont="1" applyFill="1" applyBorder="1"/>
    <xf numFmtId="0" fontId="11" fillId="7" borderId="14" xfId="0" applyFont="1" applyFill="1" applyBorder="1"/>
    <xf numFmtId="0" fontId="0" fillId="0" borderId="0" xfId="0" applyAlignment="1">
      <alignment vertical="center"/>
    </xf>
    <xf numFmtId="0" fontId="0" fillId="0" borderId="15" xfId="0" applyFill="1" applyBorder="1" applyAlignment="1">
      <alignment horizontal="center"/>
    </xf>
    <xf numFmtId="0" fontId="14" fillId="0" borderId="2" xfId="0" applyFont="1" applyBorder="1"/>
    <xf numFmtId="0" fontId="12" fillId="0" borderId="1" xfId="0" applyFont="1" applyFill="1" applyBorder="1"/>
    <xf numFmtId="0" fontId="12" fillId="0" borderId="15" xfId="0" applyFont="1" applyFill="1" applyBorder="1"/>
    <xf numFmtId="0" fontId="15" fillId="0" borderId="1" xfId="0" applyFont="1" applyFill="1" applyBorder="1" applyAlignment="1">
      <alignment horizontal="left"/>
    </xf>
    <xf numFmtId="0" fontId="0" fillId="7" borderId="13" xfId="0" applyFill="1" applyBorder="1"/>
    <xf numFmtId="0" fontId="0" fillId="7" borderId="9" xfId="0" applyFill="1" applyBorder="1"/>
    <xf numFmtId="3" fontId="0" fillId="0" borderId="1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10" fillId="0" borderId="5" xfId="0" applyFont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0" borderId="0" xfId="0" applyFill="1" applyBorder="1"/>
    <xf numFmtId="0" fontId="0" fillId="11" borderId="1" xfId="0" applyFill="1" applyBorder="1"/>
    <xf numFmtId="0" fontId="5" fillId="0" borderId="0" xfId="0" applyFont="1"/>
    <xf numFmtId="0" fontId="0" fillId="11" borderId="0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11" borderId="10" xfId="0" applyFill="1" applyBorder="1"/>
    <xf numFmtId="0" fontId="0" fillId="11" borderId="7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7" xfId="0" applyFill="1" applyBorder="1"/>
    <xf numFmtId="0" fontId="0" fillId="2" borderId="14" xfId="0" applyFill="1" applyBorder="1"/>
    <xf numFmtId="11" fontId="0" fillId="0" borderId="0" xfId="0" applyNumberFormat="1" applyBorder="1"/>
    <xf numFmtId="2" fontId="0" fillId="0" borderId="8" xfId="0" applyNumberFormat="1" applyBorder="1"/>
    <xf numFmtId="0" fontId="0" fillId="0" borderId="11" xfId="0" applyFill="1" applyBorder="1"/>
    <xf numFmtId="0" fontId="11" fillId="0" borderId="2" xfId="0" applyFon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2" borderId="2" xfId="0" applyFill="1" applyBorder="1"/>
    <xf numFmtId="0" fontId="0" fillId="2" borderId="1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15" xfId="0" applyFill="1" applyBorder="1"/>
    <xf numFmtId="0" fontId="0" fillId="3" borderId="2" xfId="0" applyFill="1" applyBorder="1"/>
    <xf numFmtId="0" fontId="0" fillId="3" borderId="1" xfId="0" applyFill="1" applyBorder="1"/>
    <xf numFmtId="11" fontId="0" fillId="3" borderId="1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15" xfId="0" applyFill="1" applyBorder="1"/>
    <xf numFmtId="0" fontId="0" fillId="3" borderId="6" xfId="0" applyFill="1" applyBorder="1"/>
    <xf numFmtId="0" fontId="0" fillId="3" borderId="0" xfId="0" applyFill="1" applyBorder="1"/>
    <xf numFmtId="0" fontId="10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15" fillId="0" borderId="0" xfId="0" applyFont="1" applyFill="1" applyBorder="1"/>
    <xf numFmtId="0" fontId="0" fillId="0" borderId="10" xfId="0" applyFill="1" applyBorder="1"/>
    <xf numFmtId="0" fontId="0" fillId="0" borderId="7" xfId="0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0" fontId="16" fillId="0" borderId="1" xfId="0" applyFont="1" applyBorder="1"/>
    <xf numFmtId="0" fontId="0" fillId="0" borderId="0" xfId="0" applyBorder="1" applyAlignment="1">
      <alignment horizontal="center"/>
    </xf>
    <xf numFmtId="0" fontId="0" fillId="3" borderId="7" xfId="0" applyFill="1" applyBorder="1"/>
    <xf numFmtId="0" fontId="16" fillId="0" borderId="2" xfId="0" applyFont="1" applyBorder="1"/>
    <xf numFmtId="0" fontId="5" fillId="0" borderId="0" xfId="0" applyFont="1" applyBorder="1"/>
    <xf numFmtId="0" fontId="0" fillId="0" borderId="0" xfId="0" applyBorder="1" applyAlignment="1">
      <alignment horizontal="right"/>
    </xf>
    <xf numFmtId="0" fontId="5" fillId="0" borderId="10" xfId="0" applyFont="1" applyBorder="1"/>
    <xf numFmtId="2" fontId="0" fillId="3" borderId="0" xfId="0" applyNumberFormat="1" applyFill="1" applyBorder="1"/>
    <xf numFmtId="0" fontId="0" fillId="0" borderId="2" xfId="0" applyBorder="1" applyAlignment="1">
      <alignment horizontal="center"/>
    </xf>
    <xf numFmtId="0" fontId="0" fillId="7" borderId="0" xfId="0" applyFill="1"/>
    <xf numFmtId="0" fontId="16" fillId="0" borderId="5" xfId="0" applyFont="1" applyBorder="1"/>
    <xf numFmtId="0" fontId="0" fillId="0" borderId="8" xfId="0" applyFill="1" applyBorder="1"/>
    <xf numFmtId="0" fontId="0" fillId="5" borderId="13" xfId="0" applyFill="1" applyBorder="1"/>
    <xf numFmtId="0" fontId="0" fillId="3" borderId="8" xfId="0" applyFill="1" applyBorder="1"/>
    <xf numFmtId="0" fontId="0" fillId="3" borderId="9" xfId="0" applyFill="1" applyBorder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1" xfId="0" applyFont="1" applyFill="1" applyBorder="1"/>
    <xf numFmtId="0" fontId="0" fillId="12" borderId="1" xfId="0" applyFill="1" applyBorder="1"/>
    <xf numFmtId="0" fontId="0" fillId="13" borderId="1" xfId="0" applyFont="1" applyFill="1" applyBorder="1"/>
    <xf numFmtId="0" fontId="0" fillId="12" borderId="6" xfId="0" applyFill="1" applyBorder="1"/>
    <xf numFmtId="0" fontId="0" fillId="12" borderId="6" xfId="0" applyFont="1" applyFill="1" applyBorder="1"/>
    <xf numFmtId="0" fontId="0" fillId="7" borderId="4" xfId="0" applyFont="1" applyFill="1" applyBorder="1"/>
    <xf numFmtId="10" fontId="0" fillId="12" borderId="1" xfId="0" applyNumberFormat="1" applyFill="1" applyBorder="1"/>
    <xf numFmtId="167" fontId="0" fillId="12" borderId="1" xfId="0" applyNumberFormat="1" applyFill="1" applyBorder="1"/>
    <xf numFmtId="10" fontId="0" fillId="13" borderId="1" xfId="0" applyNumberFormat="1" applyFill="1" applyBorder="1"/>
    <xf numFmtId="9" fontId="0" fillId="13" borderId="1" xfId="0" applyNumberFormat="1" applyFill="1" applyBorder="1"/>
    <xf numFmtId="168" fontId="0" fillId="13" borderId="1" xfId="0" applyNumberFormat="1" applyFill="1" applyBorder="1"/>
    <xf numFmtId="0" fontId="0" fillId="7" borderId="8" xfId="0" applyFill="1" applyBorder="1"/>
    <xf numFmtId="0" fontId="18" fillId="7" borderId="13" xfId="0" applyFont="1" applyFill="1" applyBorder="1"/>
    <xf numFmtId="0" fontId="0" fillId="7" borderId="12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1" xfId="0" applyFill="1" applyBorder="1"/>
    <xf numFmtId="9" fontId="0" fillId="14" borderId="1" xfId="0" applyNumberFormat="1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167" fontId="0" fillId="7" borderId="1" xfId="0" applyNumberFormat="1" applyFill="1" applyBorder="1"/>
    <xf numFmtId="0" fontId="0" fillId="8" borderId="1" xfId="0" applyFont="1" applyFill="1" applyBorder="1"/>
    <xf numFmtId="0" fontId="0" fillId="8" borderId="15" xfId="0" applyFill="1" applyBorder="1"/>
    <xf numFmtId="0" fontId="0" fillId="8" borderId="6" xfId="0" applyFill="1" applyBorder="1"/>
    <xf numFmtId="9" fontId="0" fillId="0" borderId="3" xfId="0" applyNumberFormat="1" applyBorder="1"/>
    <xf numFmtId="0" fontId="0" fillId="8" borderId="1" xfId="0" applyFill="1" applyBorder="1"/>
    <xf numFmtId="0" fontId="0" fillId="3" borderId="6" xfId="0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9" fillId="0" borderId="2" xfId="0" applyFont="1" applyBorder="1"/>
    <xf numFmtId="0" fontId="20" fillId="0" borderId="0" xfId="0" applyFont="1" applyBorder="1"/>
    <xf numFmtId="0" fontId="19" fillId="0" borderId="8" xfId="0" applyFont="1" applyBorder="1"/>
    <xf numFmtId="0" fontId="0" fillId="0" borderId="15" xfId="0" applyNumberFormat="1" applyFill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10" fillId="3" borderId="5" xfId="0" applyFont="1" applyFill="1" applyBorder="1"/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2" borderId="5" xfId="0" applyFont="1" applyFill="1" applyBorder="1"/>
    <xf numFmtId="0" fontId="0" fillId="15" borderId="0" xfId="0" applyFill="1"/>
    <xf numFmtId="0" fontId="0" fillId="15" borderId="11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8" xfId="0" applyFont="1" applyFill="1" applyBorder="1"/>
    <xf numFmtId="0" fontId="4" fillId="0" borderId="9" xfId="0" applyFont="1" applyBorder="1"/>
    <xf numFmtId="0" fontId="4" fillId="0" borderId="8" xfId="0" applyFont="1" applyBorder="1" applyAlignment="1">
      <alignment horizontal="left"/>
    </xf>
    <xf numFmtId="0" fontId="4" fillId="0" borderId="8" xfId="0" applyFont="1" applyBorder="1"/>
    <xf numFmtId="0" fontId="0" fillId="9" borderId="0" xfId="0" applyFill="1"/>
    <xf numFmtId="0" fontId="0" fillId="9" borderId="0" xfId="0" applyFill="1" applyBorder="1"/>
    <xf numFmtId="166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9" borderId="14" xfId="0" applyFont="1" applyFill="1" applyBorder="1"/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6" xfId="0" applyFill="1" applyBorder="1"/>
    <xf numFmtId="0" fontId="21" fillId="2" borderId="0" xfId="0" applyFont="1" applyFill="1"/>
    <xf numFmtId="0" fontId="21" fillId="2" borderId="0" xfId="0" applyFont="1" applyFill="1" applyBorder="1"/>
    <xf numFmtId="0" fontId="0" fillId="9" borderId="0" xfId="0" applyFon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/>
    <xf numFmtId="0" fontId="0" fillId="0" borderId="9" xfId="0" applyFill="1" applyBorder="1"/>
    <xf numFmtId="0" fontId="0" fillId="2" borderId="14" xfId="0" applyFill="1" applyBorder="1" applyAlignment="1">
      <alignment horizontal="center"/>
    </xf>
    <xf numFmtId="0" fontId="11" fillId="5" borderId="1" xfId="0" applyFont="1" applyFill="1" applyBorder="1"/>
    <xf numFmtId="0" fontId="0" fillId="5" borderId="5" xfId="0" applyFill="1" applyBorder="1"/>
    <xf numFmtId="0" fontId="4" fillId="8" borderId="1" xfId="0" applyFont="1" applyFill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0" borderId="3" xfId="0" applyFont="1" applyBorder="1"/>
    <xf numFmtId="0" fontId="0" fillId="4" borderId="15" xfId="0" applyFill="1" applyBorder="1"/>
    <xf numFmtId="0" fontId="0" fillId="4" borderId="0" xfId="0" applyFill="1"/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15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Normale" xfId="0" builtinId="0"/>
    <cellStyle name="Percentuale" xfId="1" builtinId="5"/>
    <cellStyle name="Percentuale 2" xfId="2" xr:uid="{1A11050A-C603-44A0-8943-3060AFC98B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800" b="1"/>
              <a:t>Irreversibilities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9E6-4104-A1B8-45602618B7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9E6-4104-A1B8-45602618B7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9E6-4104-A1B8-45602618B7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9E6-4104-A1B8-45602618B7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9E6-4104-A1B8-45602618B7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9E6-4104-A1B8-45602618B78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9E6-4104-A1B8-45602618B78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9E6-4104-A1B8-45602618B78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09E6-4104-A1B8-45602618B78D}"/>
              </c:ext>
            </c:extLst>
          </c:dPt>
          <c:cat>
            <c:strRef>
              <c:f>task2!$A$61:$A$69</c:f>
              <c:strCache>
                <c:ptCount val="9"/>
                <c:pt idx="0">
                  <c:v>Irr CMPR1</c:v>
                </c:pt>
                <c:pt idx="1">
                  <c:v>Irr CMPR2</c:v>
                </c:pt>
                <c:pt idx="2">
                  <c:v>Irr INT-COOL1</c:v>
                </c:pt>
                <c:pt idx="3">
                  <c:v>Irr INT-COOL2</c:v>
                </c:pt>
                <c:pt idx="4">
                  <c:v>Irr VALVE</c:v>
                </c:pt>
                <c:pt idx="5">
                  <c:v>Irr HPCC</c:v>
                </c:pt>
                <c:pt idx="6">
                  <c:v>Irr LPCC</c:v>
                </c:pt>
                <c:pt idx="7">
                  <c:v>Irr HP-TURB</c:v>
                </c:pt>
                <c:pt idx="8">
                  <c:v>Irr LP-TURB</c:v>
                </c:pt>
              </c:strCache>
            </c:strRef>
          </c:cat>
          <c:val>
            <c:numRef>
              <c:f>task2!$B$61:$B$69</c:f>
              <c:numCache>
                <c:formatCode>General</c:formatCode>
                <c:ptCount val="9"/>
                <c:pt idx="0">
                  <c:v>2239.0916202781082</c:v>
                </c:pt>
                <c:pt idx="1">
                  <c:v>2263.4366005644151</c:v>
                </c:pt>
                <c:pt idx="2">
                  <c:v>8897.0391089999994</c:v>
                </c:pt>
                <c:pt idx="3">
                  <c:v>9806.1182021967579</c:v>
                </c:pt>
                <c:pt idx="4">
                  <c:v>4931.5308223451466</c:v>
                </c:pt>
                <c:pt idx="5">
                  <c:v>37103.570201836337</c:v>
                </c:pt>
                <c:pt idx="6">
                  <c:v>24204.086354103812</c:v>
                </c:pt>
                <c:pt idx="7">
                  <c:v>2734.8295022663915</c:v>
                </c:pt>
                <c:pt idx="8">
                  <c:v>5609.3037696298925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B-4C13-B044-F444203FB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Irreversibilities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5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422-4348-9C8C-334ECE8534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422-4348-9C8C-334ECE8534D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422-4348-9C8C-334ECE8534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422-4348-9C8C-334ECE8534D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22-4348-9C8C-334ECE8534D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422-4348-9C8C-334ECE8534D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DF9-488E-A1A4-D756B81D2F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DF9-488E-A1A4-D756B81D2F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3DF9-488E-A1A4-D756B81D2F88}"/>
              </c:ext>
            </c:extLst>
          </c:dPt>
          <c:cat>
            <c:strRef>
              <c:f>task2!$A$101:$A$109</c:f>
              <c:strCache>
                <c:ptCount val="9"/>
                <c:pt idx="0">
                  <c:v>Irr CMPR1</c:v>
                </c:pt>
                <c:pt idx="1">
                  <c:v>Irr CMPR2</c:v>
                </c:pt>
                <c:pt idx="2">
                  <c:v>Irr INT-COOL1</c:v>
                </c:pt>
                <c:pt idx="3">
                  <c:v>Irr INT-COOL2</c:v>
                </c:pt>
                <c:pt idx="4">
                  <c:v>Irr VALVE</c:v>
                </c:pt>
                <c:pt idx="5">
                  <c:v>Irr HPCC</c:v>
                </c:pt>
                <c:pt idx="6">
                  <c:v>Irr LPCC</c:v>
                </c:pt>
                <c:pt idx="7">
                  <c:v>Irr HP-TURB</c:v>
                </c:pt>
                <c:pt idx="8">
                  <c:v>Irr LP-TURB</c:v>
                </c:pt>
              </c:strCache>
            </c:strRef>
          </c:cat>
          <c:val>
            <c:numRef>
              <c:f>task2!$B$101:$B$109</c:f>
              <c:numCache>
                <c:formatCode>General</c:formatCode>
                <c:ptCount val="9"/>
                <c:pt idx="0">
                  <c:v>2361.1745310000001</c:v>
                </c:pt>
                <c:pt idx="1">
                  <c:v>2263.4367000000002</c:v>
                </c:pt>
                <c:pt idx="2">
                  <c:v>8896.9930000000004</c:v>
                </c:pt>
                <c:pt idx="3">
                  <c:v>9806.1180000000004</c:v>
                </c:pt>
                <c:pt idx="4">
                  <c:v>4931.5309999999999</c:v>
                </c:pt>
                <c:pt idx="5">
                  <c:v>36895.128100000002</c:v>
                </c:pt>
                <c:pt idx="6">
                  <c:v>24342.365229999999</c:v>
                </c:pt>
                <c:pt idx="7">
                  <c:v>2734.8290999999999</c:v>
                </c:pt>
                <c:pt idx="8">
                  <c:v>5609.3033000000096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2-4348-9C8C-334ECE853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1.xml"/><Relationship Id="rId18" Type="http://schemas.openxmlformats.org/officeDocument/2006/relationships/customXml" Target="../ink/ink16.xml"/><Relationship Id="rId26" Type="http://schemas.openxmlformats.org/officeDocument/2006/relationships/customXml" Target="../ink/ink22.xml"/><Relationship Id="rId39" Type="http://schemas.openxmlformats.org/officeDocument/2006/relationships/image" Target="../media/image11.png"/><Relationship Id="rId21" Type="http://schemas.openxmlformats.org/officeDocument/2006/relationships/customXml" Target="../ink/ink19.xml"/><Relationship Id="rId34" Type="http://schemas.openxmlformats.org/officeDocument/2006/relationships/customXml" Target="../ink/ink26.xml"/><Relationship Id="rId42" Type="http://schemas.openxmlformats.org/officeDocument/2006/relationships/customXml" Target="../ink/ink30.xml"/><Relationship Id="rId47" Type="http://schemas.openxmlformats.org/officeDocument/2006/relationships/image" Target="../media/image15.png"/><Relationship Id="rId7" Type="http://schemas.openxmlformats.org/officeDocument/2006/relationships/customXml" Target="../ink/ink5.xml"/><Relationship Id="rId2" Type="http://schemas.openxmlformats.org/officeDocument/2006/relationships/customXml" Target="../ink/ink1.xml"/><Relationship Id="rId16" Type="http://schemas.openxmlformats.org/officeDocument/2006/relationships/customXml" Target="../ink/ink14.xml"/><Relationship Id="rId29" Type="http://schemas.openxmlformats.org/officeDocument/2006/relationships/image" Target="../media/image6.png"/><Relationship Id="rId1" Type="http://schemas.openxmlformats.org/officeDocument/2006/relationships/image" Target="../media/image1.jpg"/><Relationship Id="rId6" Type="http://schemas.openxmlformats.org/officeDocument/2006/relationships/customXml" Target="../ink/ink4.xml"/><Relationship Id="rId11" Type="http://schemas.openxmlformats.org/officeDocument/2006/relationships/customXml" Target="../ink/ink9.xml"/><Relationship Id="rId24" Type="http://schemas.openxmlformats.org/officeDocument/2006/relationships/customXml" Target="../ink/ink21.xml"/><Relationship Id="rId32" Type="http://schemas.openxmlformats.org/officeDocument/2006/relationships/customXml" Target="../ink/ink25.xml"/><Relationship Id="rId37" Type="http://schemas.openxmlformats.org/officeDocument/2006/relationships/image" Target="../media/image10.png"/><Relationship Id="rId40" Type="http://schemas.openxmlformats.org/officeDocument/2006/relationships/customXml" Target="../ink/ink29.xml"/><Relationship Id="rId45" Type="http://schemas.openxmlformats.org/officeDocument/2006/relationships/image" Target="../media/image14.png"/><Relationship Id="rId5" Type="http://schemas.openxmlformats.org/officeDocument/2006/relationships/customXml" Target="../ink/ink3.xml"/><Relationship Id="rId15" Type="http://schemas.openxmlformats.org/officeDocument/2006/relationships/customXml" Target="../ink/ink13.xml"/><Relationship Id="rId23" Type="http://schemas.openxmlformats.org/officeDocument/2006/relationships/image" Target="../media/image3.png"/><Relationship Id="rId28" Type="http://schemas.openxmlformats.org/officeDocument/2006/relationships/customXml" Target="../ink/ink23.xml"/><Relationship Id="rId36" Type="http://schemas.openxmlformats.org/officeDocument/2006/relationships/customXml" Target="../ink/ink27.xml"/><Relationship Id="rId10" Type="http://schemas.openxmlformats.org/officeDocument/2006/relationships/customXml" Target="../ink/ink8.xml"/><Relationship Id="rId19" Type="http://schemas.openxmlformats.org/officeDocument/2006/relationships/customXml" Target="../ink/ink17.xml"/><Relationship Id="rId31" Type="http://schemas.openxmlformats.org/officeDocument/2006/relationships/image" Target="../media/image7.png"/><Relationship Id="rId44" Type="http://schemas.openxmlformats.org/officeDocument/2006/relationships/customXml" Target="../ink/ink31.xml"/><Relationship Id="rId4" Type="http://schemas.openxmlformats.org/officeDocument/2006/relationships/customXml" Target="../ink/ink2.xml"/><Relationship Id="rId9" Type="http://schemas.openxmlformats.org/officeDocument/2006/relationships/customXml" Target="../ink/ink7.xml"/><Relationship Id="rId14" Type="http://schemas.openxmlformats.org/officeDocument/2006/relationships/customXml" Target="../ink/ink12.xml"/><Relationship Id="rId22" Type="http://schemas.openxmlformats.org/officeDocument/2006/relationships/customXml" Target="../ink/ink20.xml"/><Relationship Id="rId27" Type="http://schemas.openxmlformats.org/officeDocument/2006/relationships/image" Target="../media/image5.png"/><Relationship Id="rId30" Type="http://schemas.openxmlformats.org/officeDocument/2006/relationships/customXml" Target="../ink/ink24.xml"/><Relationship Id="rId35" Type="http://schemas.openxmlformats.org/officeDocument/2006/relationships/image" Target="../media/image9.png"/><Relationship Id="rId43" Type="http://schemas.openxmlformats.org/officeDocument/2006/relationships/image" Target="../media/image13.png"/><Relationship Id="rId8" Type="http://schemas.openxmlformats.org/officeDocument/2006/relationships/customXml" Target="../ink/ink6.xml"/><Relationship Id="rId3" Type="http://schemas.openxmlformats.org/officeDocument/2006/relationships/image" Target="../media/image2.png"/><Relationship Id="rId12" Type="http://schemas.openxmlformats.org/officeDocument/2006/relationships/customXml" Target="../ink/ink10.xml"/><Relationship Id="rId17" Type="http://schemas.openxmlformats.org/officeDocument/2006/relationships/customXml" Target="../ink/ink15.xml"/><Relationship Id="rId25" Type="http://schemas.openxmlformats.org/officeDocument/2006/relationships/image" Target="../media/image4.png"/><Relationship Id="rId33" Type="http://schemas.openxmlformats.org/officeDocument/2006/relationships/image" Target="../media/image8.png"/><Relationship Id="rId38" Type="http://schemas.openxmlformats.org/officeDocument/2006/relationships/customXml" Target="../ink/ink28.xml"/><Relationship Id="rId46" Type="http://schemas.openxmlformats.org/officeDocument/2006/relationships/customXml" Target="../ink/ink32.xml"/><Relationship Id="rId20" Type="http://schemas.openxmlformats.org/officeDocument/2006/relationships/customXml" Target="../ink/ink18.xml"/><Relationship Id="rId41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g"/><Relationship Id="rId13" Type="http://schemas.openxmlformats.org/officeDocument/2006/relationships/image" Target="../media/image130.png"/><Relationship Id="rId18" Type="http://schemas.openxmlformats.org/officeDocument/2006/relationships/customXml" Target="../ink/ink36.xml"/><Relationship Id="rId3" Type="http://schemas.openxmlformats.org/officeDocument/2006/relationships/image" Target="../media/image4.jpg"/><Relationship Id="rId21" Type="http://schemas.openxmlformats.org/officeDocument/2006/relationships/image" Target="../media/image2.png"/><Relationship Id="rId7" Type="http://schemas.openxmlformats.org/officeDocument/2006/relationships/image" Target="../media/image8.jpg"/><Relationship Id="rId12" Type="http://schemas.openxmlformats.org/officeDocument/2006/relationships/customXml" Target="../ink/ink33.xml"/><Relationship Id="rId17" Type="http://schemas.openxmlformats.org/officeDocument/2006/relationships/image" Target="../media/image150.png"/><Relationship Id="rId2" Type="http://schemas.openxmlformats.org/officeDocument/2006/relationships/image" Target="../media/image3.jpg"/><Relationship Id="rId16" Type="http://schemas.openxmlformats.org/officeDocument/2006/relationships/customXml" Target="../ink/ink35.xml"/><Relationship Id="rId20" Type="http://schemas.openxmlformats.org/officeDocument/2006/relationships/customXml" Target="../ink/ink37.xml"/><Relationship Id="rId1" Type="http://schemas.openxmlformats.org/officeDocument/2006/relationships/image" Target="../media/image2.jpg"/><Relationship Id="rId6" Type="http://schemas.openxmlformats.org/officeDocument/2006/relationships/image" Target="../media/image7.jpg"/><Relationship Id="rId11" Type="http://schemas.openxmlformats.org/officeDocument/2006/relationships/image" Target="../media/image16.png"/><Relationship Id="rId5" Type="http://schemas.openxmlformats.org/officeDocument/2006/relationships/image" Target="../media/image6.jpg"/><Relationship Id="rId15" Type="http://schemas.openxmlformats.org/officeDocument/2006/relationships/image" Target="../media/image140.png"/><Relationship Id="rId10" Type="http://schemas.openxmlformats.org/officeDocument/2006/relationships/chart" Target="../charts/chart1.xml"/><Relationship Id="rId19" Type="http://schemas.openxmlformats.org/officeDocument/2006/relationships/image" Target="../media/image160.png"/><Relationship Id="rId4" Type="http://schemas.openxmlformats.org/officeDocument/2006/relationships/image" Target="../media/image5.jpg"/><Relationship Id="rId9" Type="http://schemas.openxmlformats.org/officeDocument/2006/relationships/image" Target="../media/image10.jpg"/><Relationship Id="rId14" Type="http://schemas.openxmlformats.org/officeDocument/2006/relationships/customXml" Target="../ink/ink34.xml"/><Relationship Id="rId22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41.xml"/><Relationship Id="rId13" Type="http://schemas.openxmlformats.org/officeDocument/2006/relationships/image" Target="../media/image22.png"/><Relationship Id="rId18" Type="http://schemas.openxmlformats.org/officeDocument/2006/relationships/customXml" Target="../ink/ink46.xml"/><Relationship Id="rId3" Type="http://schemas.openxmlformats.org/officeDocument/2006/relationships/image" Target="../media/image17.png"/><Relationship Id="rId21" Type="http://schemas.openxmlformats.org/officeDocument/2006/relationships/image" Target="../media/image26.png"/><Relationship Id="rId7" Type="http://schemas.openxmlformats.org/officeDocument/2006/relationships/image" Target="../media/image19.png"/><Relationship Id="rId12" Type="http://schemas.openxmlformats.org/officeDocument/2006/relationships/customXml" Target="../ink/ink43.xml"/><Relationship Id="rId17" Type="http://schemas.openxmlformats.org/officeDocument/2006/relationships/image" Target="../media/image24.png"/><Relationship Id="rId2" Type="http://schemas.openxmlformats.org/officeDocument/2006/relationships/customXml" Target="../ink/ink38.xml"/><Relationship Id="rId16" Type="http://schemas.openxmlformats.org/officeDocument/2006/relationships/customXml" Target="../ink/ink45.xml"/><Relationship Id="rId20" Type="http://schemas.openxmlformats.org/officeDocument/2006/relationships/customXml" Target="../ink/ink47.xml"/><Relationship Id="rId1" Type="http://schemas.openxmlformats.org/officeDocument/2006/relationships/image" Target="../media/image1.jpg"/><Relationship Id="rId6" Type="http://schemas.openxmlformats.org/officeDocument/2006/relationships/customXml" Target="../ink/ink40.xml"/><Relationship Id="rId11" Type="http://schemas.openxmlformats.org/officeDocument/2006/relationships/image" Target="../media/image21.png"/><Relationship Id="rId24" Type="http://schemas.openxmlformats.org/officeDocument/2006/relationships/image" Target="../media/image16.png"/><Relationship Id="rId5" Type="http://schemas.openxmlformats.org/officeDocument/2006/relationships/image" Target="../media/image18.png"/><Relationship Id="rId15" Type="http://schemas.openxmlformats.org/officeDocument/2006/relationships/image" Target="../media/image23.png"/><Relationship Id="rId23" Type="http://schemas.openxmlformats.org/officeDocument/2006/relationships/image" Target="../media/image27.png"/><Relationship Id="rId10" Type="http://schemas.openxmlformats.org/officeDocument/2006/relationships/customXml" Target="../ink/ink42.xml"/><Relationship Id="rId19" Type="http://schemas.openxmlformats.org/officeDocument/2006/relationships/image" Target="../media/image25.png"/><Relationship Id="rId4" Type="http://schemas.openxmlformats.org/officeDocument/2006/relationships/customXml" Target="../ink/ink39.xml"/><Relationship Id="rId9" Type="http://schemas.openxmlformats.org/officeDocument/2006/relationships/image" Target="../media/image20.png"/><Relationship Id="rId14" Type="http://schemas.openxmlformats.org/officeDocument/2006/relationships/customXml" Target="../ink/ink44.xml"/><Relationship Id="rId22" Type="http://schemas.openxmlformats.org/officeDocument/2006/relationships/customXml" Target="../ink/ink4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ustomXml" Target="../ink/ink50.xml"/><Relationship Id="rId2" Type="http://schemas.openxmlformats.org/officeDocument/2006/relationships/image" Target="../media/image28.png"/><Relationship Id="rId1" Type="http://schemas.openxmlformats.org/officeDocument/2006/relationships/customXml" Target="../ink/ink49.xml"/><Relationship Id="rId6" Type="http://schemas.openxmlformats.org/officeDocument/2006/relationships/image" Target="../media/image30.png"/><Relationship Id="rId5" Type="http://schemas.openxmlformats.org/officeDocument/2006/relationships/customXml" Target="../ink/ink51.xml"/><Relationship Id="rId4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1442356</xdr:colOff>
      <xdr:row>5</xdr:row>
      <xdr:rowOff>99786</xdr:rowOff>
    </xdr:from>
    <xdr:to>
      <xdr:col>9</xdr:col>
      <xdr:colOff>788446</xdr:colOff>
      <xdr:row>18</xdr:row>
      <xdr:rowOff>114130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972FAF6A-C378-4941-85CD-70E1544FB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785" y="1632857"/>
          <a:ext cx="7772400" cy="2390379"/>
        </a:xfrm>
        <a:prstGeom prst="rect">
          <a:avLst/>
        </a:prstGeom>
      </xdr:spPr>
    </xdr:pic>
    <xdr:clientData/>
  </xdr:twoCellAnchor>
  <xdr:twoCellAnchor editAs="oneCell">
    <xdr:from>
      <xdr:col>14</xdr:col>
      <xdr:colOff>301255</xdr:colOff>
      <xdr:row>12</xdr:row>
      <xdr:rowOff>78783</xdr:rowOff>
    </xdr:from>
    <xdr:to>
      <xdr:col>14</xdr:col>
      <xdr:colOff>298440</xdr:colOff>
      <xdr:row>12</xdr:row>
      <xdr:rowOff>79143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" name="Input penna 1">
              <a:extLst>
                <a:ext uri="{FF2B5EF4-FFF2-40B4-BE49-F238E27FC236}">
                  <a16:creationId xmlns:a16="http://schemas.microsoft.com/office/drawing/2014/main" id="{E2D9FA28-AFCB-45AA-BCF4-3A482A2E606E}"/>
                </a:ext>
              </a:extLst>
            </xdr14:cNvPr>
            <xdr14:cNvContentPartPr/>
          </xdr14:nvContentPartPr>
          <xdr14:nvPr macro=""/>
          <xdr14:xfrm>
            <a:off x="13898193" y="2714033"/>
            <a:ext cx="360" cy="360"/>
          </xdr14:xfrm>
        </xdr:contentPart>
      </mc:Choice>
      <mc:Fallback xmlns="">
        <xdr:pic>
          <xdr:nvPicPr>
            <xdr:cNvPr id="2" name="Input penna 1">
              <a:extLst>
                <a:ext uri="{FF2B5EF4-FFF2-40B4-BE49-F238E27FC236}">
                  <a16:creationId xmlns:a16="http://schemas.microsoft.com/office/drawing/2014/main" id="{E2D9FA28-AFCB-45AA-BCF4-3A482A2E606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3889553" y="27053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206000</xdr:colOff>
      <xdr:row>11</xdr:row>
      <xdr:rowOff>79125</xdr:rowOff>
    </xdr:from>
    <xdr:to>
      <xdr:col>14</xdr:col>
      <xdr:colOff>203185</xdr:colOff>
      <xdr:row>11</xdr:row>
      <xdr:rowOff>82660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3" name="Input penna 2">
              <a:extLst>
                <a:ext uri="{FF2B5EF4-FFF2-40B4-BE49-F238E27FC236}">
                  <a16:creationId xmlns:a16="http://schemas.microsoft.com/office/drawing/2014/main" id="{6F8F5A35-581A-43AA-8D90-8D7A2C262814}"/>
                </a:ext>
              </a:extLst>
            </xdr14:cNvPr>
            <xdr14:cNvContentPartPr/>
          </xdr14:nvContentPartPr>
          <xdr14:nvPr macro=""/>
          <xdr14:xfrm>
            <a:off x="13802938" y="2722313"/>
            <a:ext cx="360" cy="360"/>
          </xdr14:xfrm>
        </xdr:contentPart>
      </mc:Choice>
      <mc:Fallback xmlns="">
        <xdr:pic>
          <xdr:nvPicPr>
            <xdr:cNvPr id="3" name="Input penna 2">
              <a:extLst>
                <a:ext uri="{FF2B5EF4-FFF2-40B4-BE49-F238E27FC236}">
                  <a16:creationId xmlns:a16="http://schemas.microsoft.com/office/drawing/2014/main" id="{6F8F5A35-581A-43AA-8D90-8D7A2C26281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3793938" y="271331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491480</xdr:colOff>
      <xdr:row>14</xdr:row>
      <xdr:rowOff>39398</xdr:rowOff>
    </xdr:from>
    <xdr:to>
      <xdr:col>14</xdr:col>
      <xdr:colOff>488665</xdr:colOff>
      <xdr:row>14</xdr:row>
      <xdr:rowOff>39758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put penna 3">
              <a:extLst>
                <a:ext uri="{FF2B5EF4-FFF2-40B4-BE49-F238E27FC236}">
                  <a16:creationId xmlns:a16="http://schemas.microsoft.com/office/drawing/2014/main" id="{88A2C63E-A7B0-4402-A9FF-635F1BF23E10}"/>
                </a:ext>
              </a:extLst>
            </xdr14:cNvPr>
            <xdr14:cNvContentPartPr/>
          </xdr14:nvContentPartPr>
          <xdr14:nvPr macro=""/>
          <xdr14:xfrm>
            <a:off x="14088418" y="3230273"/>
            <a:ext cx="360" cy="360"/>
          </xdr14:xfrm>
        </xdr:contentPart>
      </mc:Choice>
      <mc:Fallback xmlns="">
        <xdr:pic>
          <xdr:nvPicPr>
            <xdr:cNvPr id="4" name="Input penna 3">
              <a:extLst>
                <a:ext uri="{FF2B5EF4-FFF2-40B4-BE49-F238E27FC236}">
                  <a16:creationId xmlns:a16="http://schemas.microsoft.com/office/drawing/2014/main" id="{88A2C63E-A7B0-4402-A9FF-635F1BF23E1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079778" y="322163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1238250</xdr:colOff>
      <xdr:row>23</xdr:row>
      <xdr:rowOff>213545</xdr:rowOff>
    </xdr:from>
    <xdr:to>
      <xdr:col>14</xdr:col>
      <xdr:colOff>1238610</xdr:colOff>
      <xdr:row>23</xdr:row>
      <xdr:rowOff>217080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put penna 7">
              <a:extLst>
                <a:ext uri="{FF2B5EF4-FFF2-40B4-BE49-F238E27FC236}">
                  <a16:creationId xmlns:a16="http://schemas.microsoft.com/office/drawing/2014/main" id="{D8C92727-596B-4B0D-BC2A-575D751CEE74}"/>
                </a:ext>
              </a:extLst>
            </xdr14:cNvPr>
            <xdr14:cNvContentPartPr/>
          </xdr14:nvContentPartPr>
          <xdr14:nvPr macro=""/>
          <xdr14:xfrm>
            <a:off x="14835188" y="5079233"/>
            <a:ext cx="360" cy="360"/>
          </xdr14:xfrm>
        </xdr:contentPart>
      </mc:Choice>
      <mc:Fallback xmlns="">
        <xdr:pic>
          <xdr:nvPicPr>
            <xdr:cNvPr id="8" name="Input penna 7">
              <a:extLst>
                <a:ext uri="{FF2B5EF4-FFF2-40B4-BE49-F238E27FC236}">
                  <a16:creationId xmlns:a16="http://schemas.microsoft.com/office/drawing/2014/main" id="{D8C92727-596B-4B0D-BC2A-575D751CEE7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826188" y="50705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833245</xdr:colOff>
      <xdr:row>13</xdr:row>
      <xdr:rowOff>142400</xdr:rowOff>
    </xdr:from>
    <xdr:to>
      <xdr:col>12</xdr:col>
      <xdr:colOff>830430</xdr:colOff>
      <xdr:row>13</xdr:row>
      <xdr:rowOff>145935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put penna 8">
              <a:extLst>
                <a:ext uri="{FF2B5EF4-FFF2-40B4-BE49-F238E27FC236}">
                  <a16:creationId xmlns:a16="http://schemas.microsoft.com/office/drawing/2014/main" id="{6B2D864F-1C0D-4C60-90A3-085A45D40AAC}"/>
                </a:ext>
              </a:extLst>
            </xdr14:cNvPr>
            <xdr14:cNvContentPartPr/>
          </xdr14:nvContentPartPr>
          <xdr14:nvPr macro=""/>
          <xdr14:xfrm>
            <a:off x="12636308" y="3150713"/>
            <a:ext cx="360" cy="360"/>
          </xdr14:xfrm>
        </xdr:contentPart>
      </mc:Choice>
      <mc:Fallback xmlns="">
        <xdr:pic>
          <xdr:nvPicPr>
            <xdr:cNvPr id="9" name="Input penna 8">
              <a:extLst>
                <a:ext uri="{FF2B5EF4-FFF2-40B4-BE49-F238E27FC236}">
                  <a16:creationId xmlns:a16="http://schemas.microsoft.com/office/drawing/2014/main" id="{6B2D864F-1C0D-4C60-90A3-085A45D40AA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627668" y="314171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420675</xdr:colOff>
      <xdr:row>41</xdr:row>
      <xdr:rowOff>174073</xdr:rowOff>
    </xdr:from>
    <xdr:to>
      <xdr:col>16</xdr:col>
      <xdr:colOff>421035</xdr:colOff>
      <xdr:row>41</xdr:row>
      <xdr:rowOff>174433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Input penna 9">
              <a:extLst>
                <a:ext uri="{FF2B5EF4-FFF2-40B4-BE49-F238E27FC236}">
                  <a16:creationId xmlns:a16="http://schemas.microsoft.com/office/drawing/2014/main" id="{9CDAC4CD-7024-46F0-A571-ABD30665C9C5}"/>
                </a:ext>
              </a:extLst>
            </xdr14:cNvPr>
            <xdr14:cNvContentPartPr/>
          </xdr14:nvContentPartPr>
          <xdr14:nvPr macro=""/>
          <xdr14:xfrm>
            <a:off x="16636988" y="9349823"/>
            <a:ext cx="360" cy="360"/>
          </xdr14:xfrm>
        </xdr:contentPart>
      </mc:Choice>
      <mc:Fallback xmlns="">
        <xdr:pic>
          <xdr:nvPicPr>
            <xdr:cNvPr id="10" name="Input penna 9">
              <a:extLst>
                <a:ext uri="{FF2B5EF4-FFF2-40B4-BE49-F238E27FC236}">
                  <a16:creationId xmlns:a16="http://schemas.microsoft.com/office/drawing/2014/main" id="{9CDAC4CD-7024-46F0-A571-ABD30665C9C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6627988" y="934118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158595</xdr:colOff>
      <xdr:row>38</xdr:row>
      <xdr:rowOff>174200</xdr:rowOff>
    </xdr:from>
    <xdr:to>
      <xdr:col>16</xdr:col>
      <xdr:colOff>162130</xdr:colOff>
      <xdr:row>38</xdr:row>
      <xdr:rowOff>174560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Input penna 10">
              <a:extLst>
                <a:ext uri="{FF2B5EF4-FFF2-40B4-BE49-F238E27FC236}">
                  <a16:creationId xmlns:a16="http://schemas.microsoft.com/office/drawing/2014/main" id="{0B07CC5D-F449-493C-875B-E84F0F56A953}"/>
                </a:ext>
              </a:extLst>
            </xdr14:cNvPr>
            <xdr14:cNvContentPartPr/>
          </xdr14:nvContentPartPr>
          <xdr14:nvPr macro=""/>
          <xdr14:xfrm>
            <a:off x="16374908" y="8802263"/>
            <a:ext cx="360" cy="360"/>
          </xdr14:xfrm>
        </xdr:contentPart>
      </mc:Choice>
      <mc:Fallback xmlns="">
        <xdr:pic>
          <xdr:nvPicPr>
            <xdr:cNvPr id="11" name="Input penna 10">
              <a:extLst>
                <a:ext uri="{FF2B5EF4-FFF2-40B4-BE49-F238E27FC236}">
                  <a16:creationId xmlns:a16="http://schemas.microsoft.com/office/drawing/2014/main" id="{0B07CC5D-F449-493C-875B-E84F0F56A95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6366268" y="879326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261719</xdr:colOff>
      <xdr:row>36</xdr:row>
      <xdr:rowOff>190151</xdr:rowOff>
    </xdr:from>
    <xdr:to>
      <xdr:col>17</xdr:col>
      <xdr:colOff>258904</xdr:colOff>
      <xdr:row>37</xdr:row>
      <xdr:rowOff>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2" name="Input penna 11">
              <a:extLst>
                <a:ext uri="{FF2B5EF4-FFF2-40B4-BE49-F238E27FC236}">
                  <a16:creationId xmlns:a16="http://schemas.microsoft.com/office/drawing/2014/main" id="{3B46F09B-4716-4EE8-AB0E-89D902E94851}"/>
                </a:ext>
              </a:extLst>
            </xdr14:cNvPr>
            <xdr14:cNvContentPartPr/>
          </xdr14:nvContentPartPr>
          <xdr14:nvPr macro=""/>
          <xdr14:xfrm>
            <a:off x="17382907" y="8381651"/>
            <a:ext cx="360" cy="360"/>
          </xdr14:xfrm>
        </xdr:contentPart>
      </mc:Choice>
      <mc:Fallback xmlns="">
        <xdr:pic>
          <xdr:nvPicPr>
            <xdr:cNvPr id="12" name="Input penna 11">
              <a:extLst>
                <a:ext uri="{FF2B5EF4-FFF2-40B4-BE49-F238E27FC236}">
                  <a16:creationId xmlns:a16="http://schemas.microsoft.com/office/drawing/2014/main" id="{3B46F09B-4716-4EE8-AB0E-89D902E948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7374267" y="83726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26994</xdr:colOff>
      <xdr:row>49</xdr:row>
      <xdr:rowOff>35280</xdr:rowOff>
    </xdr:from>
    <xdr:to>
      <xdr:col>10</xdr:col>
      <xdr:colOff>30529</xdr:colOff>
      <xdr:row>49</xdr:row>
      <xdr:rowOff>35640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5" name="Input penna 14">
              <a:extLst>
                <a:ext uri="{FF2B5EF4-FFF2-40B4-BE49-F238E27FC236}">
                  <a16:creationId xmlns:a16="http://schemas.microsoft.com/office/drawing/2014/main" id="{A043DE58-4505-444A-BDA2-69FECCB51C17}"/>
                </a:ext>
              </a:extLst>
            </xdr14:cNvPr>
            <xdr14:cNvContentPartPr/>
          </xdr14:nvContentPartPr>
          <xdr14:nvPr macro=""/>
          <xdr14:xfrm>
            <a:off x="10099682" y="10381811"/>
            <a:ext cx="360" cy="360"/>
          </xdr14:xfrm>
        </xdr:contentPart>
      </mc:Choice>
      <mc:Fallback xmlns="">
        <xdr:pic>
          <xdr:nvPicPr>
            <xdr:cNvPr id="15" name="Input penna 14">
              <a:extLst>
                <a:ext uri="{FF2B5EF4-FFF2-40B4-BE49-F238E27FC236}">
                  <a16:creationId xmlns:a16="http://schemas.microsoft.com/office/drawing/2014/main" id="{A043DE58-4505-444A-BDA2-69FECCB51C1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090682" y="1037281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83696</xdr:colOff>
      <xdr:row>40</xdr:row>
      <xdr:rowOff>82710</xdr:rowOff>
    </xdr:from>
    <xdr:to>
      <xdr:col>19</xdr:col>
      <xdr:colOff>87231</xdr:colOff>
      <xdr:row>40</xdr:row>
      <xdr:rowOff>86245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6" name="Input penna 15">
              <a:extLst>
                <a:ext uri="{FF2B5EF4-FFF2-40B4-BE49-F238E27FC236}">
                  <a16:creationId xmlns:a16="http://schemas.microsoft.com/office/drawing/2014/main" id="{5CF8DCE8-DBC7-4E84-9840-B28BF4696B50}"/>
                </a:ext>
              </a:extLst>
            </xdr14:cNvPr>
            <xdr14:cNvContentPartPr/>
          </xdr14:nvContentPartPr>
          <xdr14:nvPr macro=""/>
          <xdr14:xfrm>
            <a:off x="19574227" y="9000491"/>
            <a:ext cx="360" cy="360"/>
          </xdr14:xfrm>
        </xdr:contentPart>
      </mc:Choice>
      <mc:Fallback xmlns="">
        <xdr:pic>
          <xdr:nvPicPr>
            <xdr:cNvPr id="16" name="Input penna 15">
              <a:extLst>
                <a:ext uri="{FF2B5EF4-FFF2-40B4-BE49-F238E27FC236}">
                  <a16:creationId xmlns:a16="http://schemas.microsoft.com/office/drawing/2014/main" id="{5CF8DCE8-DBC7-4E84-9840-B28BF4696B5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9565227" y="89918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95358</xdr:colOff>
      <xdr:row>25</xdr:row>
      <xdr:rowOff>118773</xdr:rowOff>
    </xdr:from>
    <xdr:to>
      <xdr:col>15</xdr:col>
      <xdr:colOff>95718</xdr:colOff>
      <xdr:row>25</xdr:row>
      <xdr:rowOff>122308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7" name="Input penna 16">
              <a:extLst>
                <a:ext uri="{FF2B5EF4-FFF2-40B4-BE49-F238E27FC236}">
                  <a16:creationId xmlns:a16="http://schemas.microsoft.com/office/drawing/2014/main" id="{9F1077D0-58A3-4B00-8922-62DDB5B60971}"/>
                </a:ext>
              </a:extLst>
            </xdr14:cNvPr>
            <xdr14:cNvContentPartPr/>
          </xdr14:nvContentPartPr>
          <xdr14:nvPr macro=""/>
          <xdr14:xfrm>
            <a:off x="15275827" y="5571836"/>
            <a:ext cx="360" cy="360"/>
          </xdr14:xfrm>
        </xdr:contentPart>
      </mc:Choice>
      <mc:Fallback xmlns="">
        <xdr:pic>
          <xdr:nvPicPr>
            <xdr:cNvPr id="17" name="Input penna 16">
              <a:extLst>
                <a:ext uri="{FF2B5EF4-FFF2-40B4-BE49-F238E27FC236}">
                  <a16:creationId xmlns:a16="http://schemas.microsoft.com/office/drawing/2014/main" id="{9F1077D0-58A3-4B00-8922-62DDB5B6097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5266827" y="556319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59152</xdr:colOff>
      <xdr:row>51</xdr:row>
      <xdr:rowOff>94807</xdr:rowOff>
    </xdr:from>
    <xdr:to>
      <xdr:col>5</xdr:col>
      <xdr:colOff>59512</xdr:colOff>
      <xdr:row>51</xdr:row>
      <xdr:rowOff>95167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8" name="Input penna 17">
              <a:extLst>
                <a:ext uri="{FF2B5EF4-FFF2-40B4-BE49-F238E27FC236}">
                  <a16:creationId xmlns:a16="http://schemas.microsoft.com/office/drawing/2014/main" id="{555120ED-05B3-4B4F-9AC6-A41C802A8157}"/>
                </a:ext>
              </a:extLst>
            </xdr14:cNvPr>
            <xdr14:cNvContentPartPr/>
          </xdr14:nvContentPartPr>
          <xdr14:nvPr macro=""/>
          <xdr14:xfrm>
            <a:off x="5536027" y="10798526"/>
            <a:ext cx="360" cy="360"/>
          </xdr14:xfrm>
        </xdr:contentPart>
      </mc:Choice>
      <mc:Fallback xmlns="">
        <xdr:pic>
          <xdr:nvPicPr>
            <xdr:cNvPr id="18" name="Input penna 17">
              <a:extLst>
                <a:ext uri="{FF2B5EF4-FFF2-40B4-BE49-F238E27FC236}">
                  <a16:creationId xmlns:a16="http://schemas.microsoft.com/office/drawing/2014/main" id="{555120ED-05B3-4B4F-9AC6-A41C802A815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27027" y="1078952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559192</xdr:colOff>
      <xdr:row>51</xdr:row>
      <xdr:rowOff>107047</xdr:rowOff>
    </xdr:from>
    <xdr:to>
      <xdr:col>5</xdr:col>
      <xdr:colOff>562727</xdr:colOff>
      <xdr:row>51</xdr:row>
      <xdr:rowOff>104232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9" name="Input penna 18">
              <a:extLst>
                <a:ext uri="{FF2B5EF4-FFF2-40B4-BE49-F238E27FC236}">
                  <a16:creationId xmlns:a16="http://schemas.microsoft.com/office/drawing/2014/main" id="{7E89F24A-BE64-44B7-B475-EA3610FA4A6F}"/>
                </a:ext>
              </a:extLst>
            </xdr14:cNvPr>
            <xdr14:cNvContentPartPr/>
          </xdr14:nvContentPartPr>
          <xdr14:nvPr macro=""/>
          <xdr14:xfrm>
            <a:off x="6036067" y="10810766"/>
            <a:ext cx="360" cy="360"/>
          </xdr14:xfrm>
        </xdr:contentPart>
      </mc:Choice>
      <mc:Fallback xmlns="">
        <xdr:pic>
          <xdr:nvPicPr>
            <xdr:cNvPr id="19" name="Input penna 18">
              <a:extLst>
                <a:ext uri="{FF2B5EF4-FFF2-40B4-BE49-F238E27FC236}">
                  <a16:creationId xmlns:a16="http://schemas.microsoft.com/office/drawing/2014/main" id="{7E89F24A-BE64-44B7-B475-EA3610FA4A6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027427" y="1080176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273956</xdr:colOff>
      <xdr:row>49</xdr:row>
      <xdr:rowOff>118635</xdr:rowOff>
    </xdr:from>
    <xdr:to>
      <xdr:col>7</xdr:col>
      <xdr:colOff>277491</xdr:colOff>
      <xdr:row>49</xdr:row>
      <xdr:rowOff>122170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1" name="Input penna 20">
              <a:extLst>
                <a:ext uri="{FF2B5EF4-FFF2-40B4-BE49-F238E27FC236}">
                  <a16:creationId xmlns:a16="http://schemas.microsoft.com/office/drawing/2014/main" id="{AAA188E2-1ACF-4D84-B6D4-6DEE80220E73}"/>
                </a:ext>
              </a:extLst>
            </xdr14:cNvPr>
            <xdr14:cNvContentPartPr/>
          </xdr14:nvContentPartPr>
          <xdr14:nvPr macro=""/>
          <xdr14:xfrm>
            <a:off x="7762987" y="10465166"/>
            <a:ext cx="360" cy="360"/>
          </xdr14:xfrm>
        </xdr:contentPart>
      </mc:Choice>
      <mc:Fallback xmlns="">
        <xdr:pic>
          <xdr:nvPicPr>
            <xdr:cNvPr id="21" name="Input penna 20">
              <a:extLst>
                <a:ext uri="{FF2B5EF4-FFF2-40B4-BE49-F238E27FC236}">
                  <a16:creationId xmlns:a16="http://schemas.microsoft.com/office/drawing/2014/main" id="{AAA188E2-1ACF-4D84-B6D4-6DEE80220E7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753987" y="1045616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273956</xdr:colOff>
      <xdr:row>49</xdr:row>
      <xdr:rowOff>118635</xdr:rowOff>
    </xdr:from>
    <xdr:to>
      <xdr:col>7</xdr:col>
      <xdr:colOff>277491</xdr:colOff>
      <xdr:row>49</xdr:row>
      <xdr:rowOff>122170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2" name="Input penna 21">
              <a:extLst>
                <a:ext uri="{FF2B5EF4-FFF2-40B4-BE49-F238E27FC236}">
                  <a16:creationId xmlns:a16="http://schemas.microsoft.com/office/drawing/2014/main" id="{DBED392D-3D9D-4C62-AAD1-84059F0DFB21}"/>
                </a:ext>
              </a:extLst>
            </xdr14:cNvPr>
            <xdr14:cNvContentPartPr/>
          </xdr14:nvContentPartPr>
          <xdr14:nvPr macro=""/>
          <xdr14:xfrm>
            <a:off x="7762987" y="10465166"/>
            <a:ext cx="360" cy="360"/>
          </xdr14:xfrm>
        </xdr:contentPart>
      </mc:Choice>
      <mc:Fallback xmlns="">
        <xdr:pic>
          <xdr:nvPicPr>
            <xdr:cNvPr id="22" name="Input penna 21">
              <a:extLst>
                <a:ext uri="{FF2B5EF4-FFF2-40B4-BE49-F238E27FC236}">
                  <a16:creationId xmlns:a16="http://schemas.microsoft.com/office/drawing/2014/main" id="{DBED392D-3D9D-4C62-AAD1-84059F0DFB2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753987" y="1045616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273956</xdr:colOff>
      <xdr:row>49</xdr:row>
      <xdr:rowOff>118635</xdr:rowOff>
    </xdr:from>
    <xdr:to>
      <xdr:col>7</xdr:col>
      <xdr:colOff>277491</xdr:colOff>
      <xdr:row>49</xdr:row>
      <xdr:rowOff>122170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3" name="Input penna 22">
              <a:extLst>
                <a:ext uri="{FF2B5EF4-FFF2-40B4-BE49-F238E27FC236}">
                  <a16:creationId xmlns:a16="http://schemas.microsoft.com/office/drawing/2014/main" id="{DBA891AD-FEB8-4415-8AC6-858D8CEBF183}"/>
                </a:ext>
              </a:extLst>
            </xdr14:cNvPr>
            <xdr14:cNvContentPartPr/>
          </xdr14:nvContentPartPr>
          <xdr14:nvPr macro=""/>
          <xdr14:xfrm>
            <a:off x="7762987" y="10465166"/>
            <a:ext cx="360" cy="360"/>
          </xdr14:xfrm>
        </xdr:contentPart>
      </mc:Choice>
      <mc:Fallback xmlns="">
        <xdr:pic>
          <xdr:nvPicPr>
            <xdr:cNvPr id="23" name="Input penna 22">
              <a:extLst>
                <a:ext uri="{FF2B5EF4-FFF2-40B4-BE49-F238E27FC236}">
                  <a16:creationId xmlns:a16="http://schemas.microsoft.com/office/drawing/2014/main" id="{DBA891AD-FEB8-4415-8AC6-858D8CEBF18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753987" y="1045616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261716</xdr:colOff>
      <xdr:row>49</xdr:row>
      <xdr:rowOff>118635</xdr:rowOff>
    </xdr:from>
    <xdr:to>
      <xdr:col>7</xdr:col>
      <xdr:colOff>258901</xdr:colOff>
      <xdr:row>49</xdr:row>
      <xdr:rowOff>122170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4" name="Input penna 23">
              <a:extLst>
                <a:ext uri="{FF2B5EF4-FFF2-40B4-BE49-F238E27FC236}">
                  <a16:creationId xmlns:a16="http://schemas.microsoft.com/office/drawing/2014/main" id="{B66F00E8-6411-460F-A5E0-DC14AB0F62F7}"/>
                </a:ext>
              </a:extLst>
            </xdr14:cNvPr>
            <xdr14:cNvContentPartPr/>
          </xdr14:nvContentPartPr>
          <xdr14:nvPr macro=""/>
          <xdr14:xfrm>
            <a:off x="7750747" y="10465166"/>
            <a:ext cx="360" cy="360"/>
          </xdr14:xfrm>
        </xdr:contentPart>
      </mc:Choice>
      <mc:Fallback xmlns="">
        <xdr:pic>
          <xdr:nvPicPr>
            <xdr:cNvPr id="24" name="Input penna 23">
              <a:extLst>
                <a:ext uri="{FF2B5EF4-FFF2-40B4-BE49-F238E27FC236}">
                  <a16:creationId xmlns:a16="http://schemas.microsoft.com/office/drawing/2014/main" id="{B66F00E8-6411-460F-A5E0-DC14AB0F62F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741747" y="1045616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261716</xdr:colOff>
      <xdr:row>49</xdr:row>
      <xdr:rowOff>106395</xdr:rowOff>
    </xdr:from>
    <xdr:to>
      <xdr:col>7</xdr:col>
      <xdr:colOff>258901</xdr:colOff>
      <xdr:row>49</xdr:row>
      <xdr:rowOff>103580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5" name="Input penna 24">
              <a:extLst>
                <a:ext uri="{FF2B5EF4-FFF2-40B4-BE49-F238E27FC236}">
                  <a16:creationId xmlns:a16="http://schemas.microsoft.com/office/drawing/2014/main" id="{B9DA6A55-A9E3-49AA-A464-76847D45D6D8}"/>
                </a:ext>
              </a:extLst>
            </xdr14:cNvPr>
            <xdr14:cNvContentPartPr/>
          </xdr14:nvContentPartPr>
          <xdr14:nvPr macro=""/>
          <xdr14:xfrm>
            <a:off x="7750747" y="10452926"/>
            <a:ext cx="360" cy="360"/>
          </xdr14:xfrm>
        </xdr:contentPart>
      </mc:Choice>
      <mc:Fallback xmlns="">
        <xdr:pic>
          <xdr:nvPicPr>
            <xdr:cNvPr id="25" name="Input penna 24">
              <a:extLst>
                <a:ext uri="{FF2B5EF4-FFF2-40B4-BE49-F238E27FC236}">
                  <a16:creationId xmlns:a16="http://schemas.microsoft.com/office/drawing/2014/main" id="{B9DA6A55-A9E3-49AA-A464-76847D45D6D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741747" y="1044392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214556</xdr:colOff>
      <xdr:row>49</xdr:row>
      <xdr:rowOff>106395</xdr:rowOff>
    </xdr:from>
    <xdr:to>
      <xdr:col>7</xdr:col>
      <xdr:colOff>218091</xdr:colOff>
      <xdr:row>49</xdr:row>
      <xdr:rowOff>103580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6" name="Input penna 25">
              <a:extLst>
                <a:ext uri="{FF2B5EF4-FFF2-40B4-BE49-F238E27FC236}">
                  <a16:creationId xmlns:a16="http://schemas.microsoft.com/office/drawing/2014/main" id="{A880534E-60A8-456E-8872-26ACD7786DB0}"/>
                </a:ext>
              </a:extLst>
            </xdr14:cNvPr>
            <xdr14:cNvContentPartPr/>
          </xdr14:nvContentPartPr>
          <xdr14:nvPr macro=""/>
          <xdr14:xfrm>
            <a:off x="7703587" y="10452926"/>
            <a:ext cx="360" cy="360"/>
          </xdr14:xfrm>
        </xdr:contentPart>
      </mc:Choice>
      <mc:Fallback xmlns="">
        <xdr:pic>
          <xdr:nvPicPr>
            <xdr:cNvPr id="26" name="Input penna 25">
              <a:extLst>
                <a:ext uri="{FF2B5EF4-FFF2-40B4-BE49-F238E27FC236}">
                  <a16:creationId xmlns:a16="http://schemas.microsoft.com/office/drawing/2014/main" id="{A880534E-60A8-456E-8872-26ACD7786DB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694587" y="10443926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1706099</xdr:colOff>
      <xdr:row>9</xdr:row>
      <xdr:rowOff>77638</xdr:rowOff>
    </xdr:from>
    <xdr:to>
      <xdr:col>1</xdr:col>
      <xdr:colOff>1807619</xdr:colOff>
      <xdr:row>9</xdr:row>
      <xdr:rowOff>168718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6" name="Input penna 5">
              <a:extLst>
                <a:ext uri="{FF2B5EF4-FFF2-40B4-BE49-F238E27FC236}">
                  <a16:creationId xmlns:a16="http://schemas.microsoft.com/office/drawing/2014/main" id="{99E76ED9-72D3-4592-ADD8-066B612985A3}"/>
                </a:ext>
              </a:extLst>
            </xdr14:cNvPr>
            <xdr14:cNvContentPartPr/>
          </xdr14:nvContentPartPr>
          <xdr14:nvPr macro=""/>
          <xdr14:xfrm>
            <a:off x="2648880" y="2347115"/>
            <a:ext cx="101520" cy="91080"/>
          </xdr14:xfrm>
        </xdr:contentPart>
      </mc:Choice>
      <mc:Fallback xmlns="">
        <xdr:pic>
          <xdr:nvPicPr>
            <xdr:cNvPr id="6" name="Input penna 5">
              <a:extLst>
                <a:ext uri="{FF2B5EF4-FFF2-40B4-BE49-F238E27FC236}">
                  <a16:creationId xmlns:a16="http://schemas.microsoft.com/office/drawing/2014/main" id="{99E76ED9-72D3-4592-ADD8-066B612985A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586240" y="2284115"/>
              <a:ext cx="227160" cy="2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174649</xdr:colOff>
      <xdr:row>13</xdr:row>
      <xdr:rowOff>155083</xdr:rowOff>
    </xdr:from>
    <xdr:to>
      <xdr:col>3</xdr:col>
      <xdr:colOff>241119</xdr:colOff>
      <xdr:row>14</xdr:row>
      <xdr:rowOff>85435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7" name="Input penna 6">
              <a:extLst>
                <a:ext uri="{FF2B5EF4-FFF2-40B4-BE49-F238E27FC236}">
                  <a16:creationId xmlns:a16="http://schemas.microsoft.com/office/drawing/2014/main" id="{6FEC37CB-9472-40FA-97B8-449252356522}"/>
                </a:ext>
              </a:extLst>
            </xdr14:cNvPr>
            <xdr14:cNvContentPartPr/>
          </xdr14:nvContentPartPr>
          <xdr14:nvPr macro=""/>
          <xdr14:xfrm>
            <a:off x="3804840" y="3143795"/>
            <a:ext cx="60120" cy="110160"/>
          </xdr14:xfrm>
        </xdr:contentPart>
      </mc:Choice>
      <mc:Fallback xmlns="">
        <xdr:pic>
          <xdr:nvPicPr>
            <xdr:cNvPr id="7" name="Input penna 6">
              <a:extLst>
                <a:ext uri="{FF2B5EF4-FFF2-40B4-BE49-F238E27FC236}">
                  <a16:creationId xmlns:a16="http://schemas.microsoft.com/office/drawing/2014/main" id="{6FEC37CB-9472-40FA-97B8-44925235652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742200" y="3081155"/>
              <a:ext cx="185760" cy="23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898609</xdr:colOff>
      <xdr:row>9</xdr:row>
      <xdr:rowOff>62878</xdr:rowOff>
    </xdr:from>
    <xdr:to>
      <xdr:col>4</xdr:col>
      <xdr:colOff>44746</xdr:colOff>
      <xdr:row>10</xdr:row>
      <xdr:rowOff>9659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3" name="Input penna 12">
              <a:extLst>
                <a:ext uri="{FF2B5EF4-FFF2-40B4-BE49-F238E27FC236}">
                  <a16:creationId xmlns:a16="http://schemas.microsoft.com/office/drawing/2014/main" id="{2DFFD05D-70FB-44B8-8FC6-FB6A1D0BB727}"/>
                </a:ext>
              </a:extLst>
            </xdr14:cNvPr>
            <xdr14:cNvContentPartPr/>
          </xdr14:nvContentPartPr>
          <xdr14:nvPr macro=""/>
          <xdr14:xfrm>
            <a:off x="4528800" y="2332355"/>
            <a:ext cx="59760" cy="120240"/>
          </xdr14:xfrm>
        </xdr:contentPart>
      </mc:Choice>
      <mc:Fallback xmlns="">
        <xdr:pic>
          <xdr:nvPicPr>
            <xdr:cNvPr id="13" name="Input penna 12">
              <a:extLst>
                <a:ext uri="{FF2B5EF4-FFF2-40B4-BE49-F238E27FC236}">
                  <a16:creationId xmlns:a16="http://schemas.microsoft.com/office/drawing/2014/main" id="{2DFFD05D-70FB-44B8-8FC6-FB6A1D0BB727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466160" y="2269355"/>
              <a:ext cx="185400" cy="24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22786</xdr:colOff>
      <xdr:row>14</xdr:row>
      <xdr:rowOff>77515</xdr:rowOff>
    </xdr:from>
    <xdr:to>
      <xdr:col>4</xdr:col>
      <xdr:colOff>76426</xdr:colOff>
      <xdr:row>15</xdr:row>
      <xdr:rowOff>11106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4" name="Input penna 13">
              <a:extLst>
                <a:ext uri="{FF2B5EF4-FFF2-40B4-BE49-F238E27FC236}">
                  <a16:creationId xmlns:a16="http://schemas.microsoft.com/office/drawing/2014/main" id="{01E9CC03-9924-43E4-BED9-205DC74477A0}"/>
                </a:ext>
              </a:extLst>
            </xdr14:cNvPr>
            <xdr14:cNvContentPartPr/>
          </xdr14:nvContentPartPr>
          <xdr14:nvPr macro=""/>
          <xdr14:xfrm>
            <a:off x="4566600" y="3246035"/>
            <a:ext cx="53640" cy="113400"/>
          </xdr14:xfrm>
        </xdr:contentPart>
      </mc:Choice>
      <mc:Fallback xmlns="">
        <xdr:pic>
          <xdr:nvPicPr>
            <xdr:cNvPr id="14" name="Input penna 13">
              <a:extLst>
                <a:ext uri="{FF2B5EF4-FFF2-40B4-BE49-F238E27FC236}">
                  <a16:creationId xmlns:a16="http://schemas.microsoft.com/office/drawing/2014/main" id="{01E9CC03-9924-43E4-BED9-205DC74477A0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503960" y="3183035"/>
              <a:ext cx="179280" cy="23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281537</xdr:colOff>
      <xdr:row>16</xdr:row>
      <xdr:rowOff>179777</xdr:rowOff>
    </xdr:from>
    <xdr:to>
      <xdr:col>6</xdr:col>
      <xdr:colOff>353047</xdr:colOff>
      <xdr:row>17</xdr:row>
      <xdr:rowOff>50239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7" name="Input penna 26">
              <a:extLst>
                <a:ext uri="{FF2B5EF4-FFF2-40B4-BE49-F238E27FC236}">
                  <a16:creationId xmlns:a16="http://schemas.microsoft.com/office/drawing/2014/main" id="{ECB95ADE-6C61-4470-8A9C-11F5C86B1860}"/>
                </a:ext>
              </a:extLst>
            </xdr14:cNvPr>
            <xdr14:cNvContentPartPr/>
          </xdr14:nvContentPartPr>
          <xdr14:nvPr macro=""/>
          <xdr14:xfrm>
            <a:off x="7046231" y="3707915"/>
            <a:ext cx="65160" cy="53640"/>
          </xdr14:xfrm>
        </xdr:contentPart>
      </mc:Choice>
      <mc:Fallback xmlns="">
        <xdr:pic>
          <xdr:nvPicPr>
            <xdr:cNvPr id="27" name="Input penna 26">
              <a:extLst>
                <a:ext uri="{FF2B5EF4-FFF2-40B4-BE49-F238E27FC236}">
                  <a16:creationId xmlns:a16="http://schemas.microsoft.com/office/drawing/2014/main" id="{ECB95ADE-6C61-4470-8A9C-11F5C86B1860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983591" y="3644915"/>
              <a:ext cx="190800" cy="17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281698</xdr:colOff>
      <xdr:row>14</xdr:row>
      <xdr:rowOff>101635</xdr:rowOff>
    </xdr:from>
    <xdr:to>
      <xdr:col>9</xdr:col>
      <xdr:colOff>364498</xdr:colOff>
      <xdr:row>15</xdr:row>
      <xdr:rowOff>46876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8" name="Input penna 27">
              <a:extLst>
                <a:ext uri="{FF2B5EF4-FFF2-40B4-BE49-F238E27FC236}">
                  <a16:creationId xmlns:a16="http://schemas.microsoft.com/office/drawing/2014/main" id="{B9CD1D69-A178-45E8-9674-4EEC1A58320F}"/>
                </a:ext>
              </a:extLst>
            </xdr14:cNvPr>
            <xdr14:cNvContentPartPr/>
          </xdr14:nvContentPartPr>
          <xdr14:nvPr macro=""/>
          <xdr14:xfrm>
            <a:off x="9592871" y="3270155"/>
            <a:ext cx="82800" cy="131400"/>
          </xdr14:xfrm>
        </xdr:contentPart>
      </mc:Choice>
      <mc:Fallback xmlns="">
        <xdr:pic>
          <xdr:nvPicPr>
            <xdr:cNvPr id="28" name="Input penna 27">
              <a:extLst>
                <a:ext uri="{FF2B5EF4-FFF2-40B4-BE49-F238E27FC236}">
                  <a16:creationId xmlns:a16="http://schemas.microsoft.com/office/drawing/2014/main" id="{B9CD1D69-A178-45E8-9674-4EEC1A58320F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9530231" y="3207515"/>
              <a:ext cx="208440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1707900</xdr:colOff>
      <xdr:row>9</xdr:row>
      <xdr:rowOff>81779</xdr:rowOff>
    </xdr:from>
    <xdr:to>
      <xdr:col>2</xdr:col>
      <xdr:colOff>16018</xdr:colOff>
      <xdr:row>10</xdr:row>
      <xdr:rowOff>28871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1" name="Input penna 30">
              <a:extLst>
                <a:ext uri="{FF2B5EF4-FFF2-40B4-BE49-F238E27FC236}">
                  <a16:creationId xmlns:a16="http://schemas.microsoft.com/office/drawing/2014/main" id="{32BF273B-91EF-49B8-95F2-9295DECA9449}"/>
                </a:ext>
              </a:extLst>
            </xdr14:cNvPr>
            <xdr14:cNvContentPartPr/>
          </xdr14:nvContentPartPr>
          <xdr14:nvPr macro=""/>
          <xdr14:xfrm>
            <a:off x="2653920" y="2372315"/>
            <a:ext cx="187200" cy="131760"/>
          </xdr14:xfrm>
        </xdr:contentPart>
      </mc:Choice>
      <mc:Fallback xmlns="">
        <xdr:pic>
          <xdr:nvPicPr>
            <xdr:cNvPr id="31" name="Input penna 30">
              <a:extLst>
                <a:ext uri="{FF2B5EF4-FFF2-40B4-BE49-F238E27FC236}">
                  <a16:creationId xmlns:a16="http://schemas.microsoft.com/office/drawing/2014/main" id="{32BF273B-91EF-49B8-95F2-9295DECA9449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2645522" y="2363651"/>
              <a:ext cx="204345" cy="149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141289</xdr:colOff>
      <xdr:row>13</xdr:row>
      <xdr:rowOff>139715</xdr:rowOff>
    </xdr:from>
    <xdr:to>
      <xdr:col>3</xdr:col>
      <xdr:colOff>188809</xdr:colOff>
      <xdr:row>14</xdr:row>
      <xdr:rowOff>59086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6" name="Input penna 35">
              <a:extLst>
                <a:ext uri="{FF2B5EF4-FFF2-40B4-BE49-F238E27FC236}">
                  <a16:creationId xmlns:a16="http://schemas.microsoft.com/office/drawing/2014/main" id="{DAD18D2C-BE22-443C-8F53-2DFE7FC431B6}"/>
                </a:ext>
              </a:extLst>
            </xdr14:cNvPr>
            <xdr14:cNvContentPartPr/>
          </xdr14:nvContentPartPr>
          <xdr14:nvPr macro=""/>
          <xdr14:xfrm>
            <a:off x="3779580" y="3168924"/>
            <a:ext cx="47520" cy="104040"/>
          </xdr14:xfrm>
        </xdr:contentPart>
      </mc:Choice>
      <mc:Fallback xmlns="">
        <xdr:pic>
          <xdr:nvPicPr>
            <xdr:cNvPr id="36" name="Input penna 35">
              <a:extLst>
                <a:ext uri="{FF2B5EF4-FFF2-40B4-BE49-F238E27FC236}">
                  <a16:creationId xmlns:a16="http://schemas.microsoft.com/office/drawing/2014/main" id="{DAD18D2C-BE22-443C-8F53-2DFE7FC431B6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770580" y="3159924"/>
              <a:ext cx="65160" cy="12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212209</xdr:colOff>
      <xdr:row>13</xdr:row>
      <xdr:rowOff>137195</xdr:rowOff>
    </xdr:from>
    <xdr:to>
      <xdr:col>3</xdr:col>
      <xdr:colOff>258289</xdr:colOff>
      <xdr:row>14</xdr:row>
      <xdr:rowOff>68676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9" name="Input penna 38">
              <a:extLst>
                <a:ext uri="{FF2B5EF4-FFF2-40B4-BE49-F238E27FC236}">
                  <a16:creationId xmlns:a16="http://schemas.microsoft.com/office/drawing/2014/main" id="{CC8A11B0-5EF5-48EA-800D-DB444F314337}"/>
                </a:ext>
              </a:extLst>
            </xdr14:cNvPr>
            <xdr14:cNvContentPartPr/>
          </xdr14:nvContentPartPr>
          <xdr14:nvPr macro=""/>
          <xdr14:xfrm>
            <a:off x="3850500" y="3166404"/>
            <a:ext cx="46080" cy="109800"/>
          </xdr14:xfrm>
        </xdr:contentPart>
      </mc:Choice>
      <mc:Fallback xmlns="">
        <xdr:pic>
          <xdr:nvPicPr>
            <xdr:cNvPr id="39" name="Input penna 38">
              <a:extLst>
                <a:ext uri="{FF2B5EF4-FFF2-40B4-BE49-F238E27FC236}">
                  <a16:creationId xmlns:a16="http://schemas.microsoft.com/office/drawing/2014/main" id="{CC8A11B0-5EF5-48EA-800D-DB444F314337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841860" y="3157736"/>
              <a:ext cx="63720" cy="1274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3467</xdr:colOff>
      <xdr:row>9</xdr:row>
      <xdr:rowOff>135395</xdr:rowOff>
    </xdr:from>
    <xdr:to>
      <xdr:col>4</xdr:col>
      <xdr:colOff>140267</xdr:colOff>
      <xdr:row>10</xdr:row>
      <xdr:rowOff>67597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42" name="Input penna 41">
              <a:extLst>
                <a:ext uri="{FF2B5EF4-FFF2-40B4-BE49-F238E27FC236}">
                  <a16:creationId xmlns:a16="http://schemas.microsoft.com/office/drawing/2014/main" id="{9B090C82-2F0B-4037-A2CE-4FC7B8994A8C}"/>
                </a:ext>
              </a:extLst>
            </xdr14:cNvPr>
            <xdr14:cNvContentPartPr/>
          </xdr14:nvContentPartPr>
          <xdr14:nvPr macro=""/>
          <xdr14:xfrm>
            <a:off x="4555380" y="2425931"/>
            <a:ext cx="136800" cy="110520"/>
          </xdr14:xfrm>
        </xdr:contentPart>
      </mc:Choice>
      <mc:Fallback xmlns="">
        <xdr:pic>
          <xdr:nvPicPr>
            <xdr:cNvPr id="42" name="Input penna 41">
              <a:extLst>
                <a:ext uri="{FF2B5EF4-FFF2-40B4-BE49-F238E27FC236}">
                  <a16:creationId xmlns:a16="http://schemas.microsoft.com/office/drawing/2014/main" id="{9B090C82-2F0B-4037-A2CE-4FC7B8994A8C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4546740" y="2417291"/>
              <a:ext cx="154440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275267</xdr:colOff>
      <xdr:row>13</xdr:row>
      <xdr:rowOff>181103</xdr:rowOff>
    </xdr:from>
    <xdr:to>
      <xdr:col>4</xdr:col>
      <xdr:colOff>378227</xdr:colOff>
      <xdr:row>14</xdr:row>
      <xdr:rowOff>98314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45" name="Input penna 44">
              <a:extLst>
                <a:ext uri="{FF2B5EF4-FFF2-40B4-BE49-F238E27FC236}">
                  <a16:creationId xmlns:a16="http://schemas.microsoft.com/office/drawing/2014/main" id="{36D7FC1F-F7EF-4B11-9E23-36CCE09BDF9C}"/>
                </a:ext>
              </a:extLst>
            </xdr14:cNvPr>
            <xdr14:cNvContentPartPr/>
          </xdr14:nvContentPartPr>
          <xdr14:nvPr macro=""/>
          <xdr14:xfrm>
            <a:off x="4827180" y="3210312"/>
            <a:ext cx="102960" cy="101880"/>
          </xdr14:xfrm>
        </xdr:contentPart>
      </mc:Choice>
      <mc:Fallback xmlns="">
        <xdr:pic>
          <xdr:nvPicPr>
            <xdr:cNvPr id="45" name="Input penna 44">
              <a:extLst>
                <a:ext uri="{FF2B5EF4-FFF2-40B4-BE49-F238E27FC236}">
                  <a16:creationId xmlns:a16="http://schemas.microsoft.com/office/drawing/2014/main" id="{36D7FC1F-F7EF-4B11-9E23-36CCE09BDF9C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818510" y="3201312"/>
              <a:ext cx="120662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270139</xdr:colOff>
      <xdr:row>15</xdr:row>
      <xdr:rowOff>52606</xdr:rowOff>
    </xdr:from>
    <xdr:to>
      <xdr:col>6</xdr:col>
      <xdr:colOff>411129</xdr:colOff>
      <xdr:row>15</xdr:row>
      <xdr:rowOff>164796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50" name="Input penna 49">
              <a:extLst>
                <a:ext uri="{FF2B5EF4-FFF2-40B4-BE49-F238E27FC236}">
                  <a16:creationId xmlns:a16="http://schemas.microsoft.com/office/drawing/2014/main" id="{27E2007B-8FB5-484C-AD45-00AC46336128}"/>
                </a:ext>
              </a:extLst>
            </xdr14:cNvPr>
            <xdr14:cNvContentPartPr/>
          </xdr14:nvContentPartPr>
          <xdr14:nvPr macro=""/>
          <xdr14:xfrm>
            <a:off x="7038073" y="3451152"/>
            <a:ext cx="134640" cy="105840"/>
          </xdr14:xfrm>
        </xdr:contentPart>
      </mc:Choice>
      <mc:Fallback xmlns="">
        <xdr:pic>
          <xdr:nvPicPr>
            <xdr:cNvPr id="50" name="Input penna 49">
              <a:extLst>
                <a:ext uri="{FF2B5EF4-FFF2-40B4-BE49-F238E27FC236}">
                  <a16:creationId xmlns:a16="http://schemas.microsoft.com/office/drawing/2014/main" id="{27E2007B-8FB5-484C-AD45-00AC4633612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7029433" y="3442483"/>
              <a:ext cx="152280" cy="1235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159228</xdr:colOff>
      <xdr:row>15</xdr:row>
      <xdr:rowOff>4726</xdr:rowOff>
    </xdr:from>
    <xdr:to>
      <xdr:col>9</xdr:col>
      <xdr:colOff>292558</xdr:colOff>
      <xdr:row>15</xdr:row>
      <xdr:rowOff>102776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53" name="Input penna 52">
              <a:extLst>
                <a:ext uri="{FF2B5EF4-FFF2-40B4-BE49-F238E27FC236}">
                  <a16:creationId xmlns:a16="http://schemas.microsoft.com/office/drawing/2014/main" id="{2C0591FE-5F14-4A66-9FB7-5CB66A800BD8}"/>
                </a:ext>
              </a:extLst>
            </xdr14:cNvPr>
            <xdr14:cNvContentPartPr/>
          </xdr14:nvContentPartPr>
          <xdr14:nvPr macro=""/>
          <xdr14:xfrm>
            <a:off x="9489840" y="3403272"/>
            <a:ext cx="139680" cy="104400"/>
          </xdr14:xfrm>
        </xdr:contentPart>
      </mc:Choice>
      <mc:Fallback xmlns="">
        <xdr:pic>
          <xdr:nvPicPr>
            <xdr:cNvPr id="53" name="Input penna 52">
              <a:extLst>
                <a:ext uri="{FF2B5EF4-FFF2-40B4-BE49-F238E27FC236}">
                  <a16:creationId xmlns:a16="http://schemas.microsoft.com/office/drawing/2014/main" id="{2C0591FE-5F14-4A66-9FB7-5CB66A800BD8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480863" y="3394272"/>
              <a:ext cx="157275" cy="122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20159</xdr:colOff>
      <xdr:row>2</xdr:row>
      <xdr:rowOff>70556</xdr:rowOff>
    </xdr:from>
    <xdr:to>
      <xdr:col>65</xdr:col>
      <xdr:colOff>112082</xdr:colOff>
      <xdr:row>13</xdr:row>
      <xdr:rowOff>179414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2C479367-793B-48D2-A667-78D6C40DC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9524" y="453572"/>
          <a:ext cx="7772400" cy="2271386"/>
        </a:xfrm>
        <a:prstGeom prst="rect">
          <a:avLst/>
        </a:prstGeom>
      </xdr:spPr>
    </xdr:pic>
    <xdr:clientData/>
  </xdr:twoCellAnchor>
  <xdr:twoCellAnchor editAs="oneCell">
    <xdr:from>
      <xdr:col>53</xdr:col>
      <xdr:colOff>45407</xdr:colOff>
      <xdr:row>24</xdr:row>
      <xdr:rowOff>140960</xdr:rowOff>
    </xdr:from>
    <xdr:to>
      <xdr:col>65</xdr:col>
      <xdr:colOff>145344</xdr:colOff>
      <xdr:row>36</xdr:row>
      <xdr:rowOff>96179</xdr:rowOff>
    </xdr:to>
    <xdr:pic>
      <xdr:nvPicPr>
        <xdr:cNvPr id="13" name="Immagine 12">
          <a:extLst>
            <a:ext uri="{FF2B5EF4-FFF2-40B4-BE49-F238E27FC236}">
              <a16:creationId xmlns:a16="http://schemas.microsoft.com/office/drawing/2014/main" id="{38C6351D-7AC5-4B7E-8569-FF1B8336F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01657" y="4446260"/>
          <a:ext cx="7828946" cy="2336469"/>
        </a:xfrm>
        <a:prstGeom prst="rect">
          <a:avLst/>
        </a:prstGeom>
      </xdr:spPr>
    </xdr:pic>
    <xdr:clientData/>
  </xdr:twoCellAnchor>
  <xdr:twoCellAnchor editAs="oneCell">
    <xdr:from>
      <xdr:col>31</xdr:col>
      <xdr:colOff>19538</xdr:colOff>
      <xdr:row>51</xdr:row>
      <xdr:rowOff>29309</xdr:rowOff>
    </xdr:from>
    <xdr:to>
      <xdr:col>43</xdr:col>
      <xdr:colOff>162738</xdr:colOff>
      <xdr:row>60</xdr:row>
      <xdr:rowOff>86640</xdr:rowOff>
    </xdr:to>
    <xdr:pic>
      <xdr:nvPicPr>
        <xdr:cNvPr id="15" name="Immagine 14">
          <a:extLst>
            <a:ext uri="{FF2B5EF4-FFF2-40B4-BE49-F238E27FC236}">
              <a16:creationId xmlns:a16="http://schemas.microsoft.com/office/drawing/2014/main" id="{2A0C1A09-2261-4CA5-85A7-2E9681AE8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15692" y="7961924"/>
          <a:ext cx="7772400" cy="2176964"/>
        </a:xfrm>
        <a:prstGeom prst="rect">
          <a:avLst/>
        </a:prstGeom>
      </xdr:spPr>
    </xdr:pic>
    <xdr:clientData/>
  </xdr:twoCellAnchor>
  <xdr:twoCellAnchor editAs="oneCell">
    <xdr:from>
      <xdr:col>53</xdr:col>
      <xdr:colOff>107350</xdr:colOff>
      <xdr:row>51</xdr:row>
      <xdr:rowOff>56292</xdr:rowOff>
    </xdr:from>
    <xdr:to>
      <xdr:col>65</xdr:col>
      <xdr:colOff>142160</xdr:colOff>
      <xdr:row>61</xdr:row>
      <xdr:rowOff>126366</xdr:rowOff>
    </xdr:to>
    <xdr:pic>
      <xdr:nvPicPr>
        <xdr:cNvPr id="17" name="Immagine 16">
          <a:extLst>
            <a:ext uri="{FF2B5EF4-FFF2-40B4-BE49-F238E27FC236}">
              <a16:creationId xmlns:a16="http://schemas.microsoft.com/office/drawing/2014/main" id="{B3DB8389-5426-43C7-8313-2114C8A6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63600" y="8076342"/>
          <a:ext cx="7779694" cy="2381020"/>
        </a:xfrm>
        <a:prstGeom prst="rect">
          <a:avLst/>
        </a:prstGeom>
      </xdr:spPr>
    </xdr:pic>
    <xdr:clientData/>
  </xdr:twoCellAnchor>
  <xdr:twoCellAnchor editAs="oneCell">
    <xdr:from>
      <xdr:col>31</xdr:col>
      <xdr:colOff>8699</xdr:colOff>
      <xdr:row>66</xdr:row>
      <xdr:rowOff>78288</xdr:rowOff>
    </xdr:from>
    <xdr:to>
      <xdr:col>43</xdr:col>
      <xdr:colOff>103833</xdr:colOff>
      <xdr:row>82</xdr:row>
      <xdr:rowOff>75</xdr:rowOff>
    </xdr:to>
    <xdr:pic>
      <xdr:nvPicPr>
        <xdr:cNvPr id="20" name="Immagine 19">
          <a:extLst>
            <a:ext uri="{FF2B5EF4-FFF2-40B4-BE49-F238E27FC236}">
              <a16:creationId xmlns:a16="http://schemas.microsoft.com/office/drawing/2014/main" id="{FA413A75-B137-46F5-A241-10F0E0467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36302" y="10621028"/>
          <a:ext cx="7772400" cy="2954319"/>
        </a:xfrm>
        <a:prstGeom prst="rect">
          <a:avLst/>
        </a:prstGeom>
      </xdr:spPr>
    </xdr:pic>
    <xdr:clientData/>
  </xdr:twoCellAnchor>
  <xdr:twoCellAnchor editAs="oneCell">
    <xdr:from>
      <xdr:col>31</xdr:col>
      <xdr:colOff>80408</xdr:colOff>
      <xdr:row>86</xdr:row>
      <xdr:rowOff>101520</xdr:rowOff>
    </xdr:from>
    <xdr:to>
      <xdr:col>43</xdr:col>
      <xdr:colOff>170663</xdr:colOff>
      <xdr:row>101</xdr:row>
      <xdr:rowOff>162579</xdr:rowOff>
    </xdr:to>
    <xdr:pic>
      <xdr:nvPicPr>
        <xdr:cNvPr id="22" name="Immagine 21">
          <a:extLst>
            <a:ext uri="{FF2B5EF4-FFF2-40B4-BE49-F238E27FC236}">
              <a16:creationId xmlns:a16="http://schemas.microsoft.com/office/drawing/2014/main" id="{38C2E3A5-C7F1-4EA4-82B8-42FA2D7AC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55713" y="14876886"/>
          <a:ext cx="7705790" cy="2963563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67</xdr:row>
      <xdr:rowOff>49945</xdr:rowOff>
    </xdr:from>
    <xdr:to>
      <xdr:col>65</xdr:col>
      <xdr:colOff>65188</xdr:colOff>
      <xdr:row>80</xdr:row>
      <xdr:rowOff>8690</xdr:rowOff>
    </xdr:to>
    <xdr:pic>
      <xdr:nvPicPr>
        <xdr:cNvPr id="24" name="Immagine 23">
          <a:extLst>
            <a:ext uri="{FF2B5EF4-FFF2-40B4-BE49-F238E27FC236}">
              <a16:creationId xmlns:a16="http://schemas.microsoft.com/office/drawing/2014/main" id="{0C619299-BA91-4C43-890F-B83E74090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51461" y="10887754"/>
          <a:ext cx="7772400" cy="2479326"/>
        </a:xfrm>
        <a:prstGeom prst="rect">
          <a:avLst/>
        </a:prstGeom>
      </xdr:spPr>
    </xdr:pic>
    <xdr:clientData/>
  </xdr:twoCellAnchor>
  <xdr:twoCellAnchor editAs="oneCell">
    <xdr:from>
      <xdr:col>31</xdr:col>
      <xdr:colOff>64651</xdr:colOff>
      <xdr:row>2</xdr:row>
      <xdr:rowOff>70200</xdr:rowOff>
    </xdr:from>
    <xdr:to>
      <xdr:col>43</xdr:col>
      <xdr:colOff>209263</xdr:colOff>
      <xdr:row>16</xdr:row>
      <xdr:rowOff>12116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8A4690C2-4E13-4772-900D-DBE38DAC3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39956" y="441907"/>
          <a:ext cx="7766497" cy="2651585"/>
        </a:xfrm>
        <a:prstGeom prst="rect">
          <a:avLst/>
        </a:prstGeom>
      </xdr:spPr>
    </xdr:pic>
    <xdr:clientData/>
  </xdr:twoCellAnchor>
  <xdr:twoCellAnchor editAs="oneCell">
    <xdr:from>
      <xdr:col>31</xdr:col>
      <xdr:colOff>53035</xdr:colOff>
      <xdr:row>24</xdr:row>
      <xdr:rowOff>101710</xdr:rowOff>
    </xdr:from>
    <xdr:to>
      <xdr:col>43</xdr:col>
      <xdr:colOff>98223</xdr:colOff>
      <xdr:row>38</xdr:row>
      <xdr:rowOff>135125</xdr:rowOff>
    </xdr:to>
    <xdr:pic>
      <xdr:nvPicPr>
        <xdr:cNvPr id="28" name="Immagine 27">
          <a:extLst>
            <a:ext uri="{FF2B5EF4-FFF2-40B4-BE49-F238E27FC236}">
              <a16:creationId xmlns:a16="http://schemas.microsoft.com/office/drawing/2014/main" id="{8F8D71D9-E971-4772-9DB9-4BEFE4D01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8340" y="4295033"/>
          <a:ext cx="7660723" cy="2728293"/>
        </a:xfrm>
        <a:prstGeom prst="rect">
          <a:avLst/>
        </a:prstGeom>
      </xdr:spPr>
    </xdr:pic>
    <xdr:clientData/>
  </xdr:twoCellAnchor>
  <xdr:twoCellAnchor>
    <xdr:from>
      <xdr:col>2</xdr:col>
      <xdr:colOff>449941</xdr:colOff>
      <xdr:row>60</xdr:row>
      <xdr:rowOff>0</xdr:rowOff>
    </xdr:from>
    <xdr:to>
      <xdr:col>17</xdr:col>
      <xdr:colOff>247650</xdr:colOff>
      <xdr:row>92</xdr:row>
      <xdr:rowOff>95249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FAE140A5-CC1C-41F5-A505-4B1AF9F28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4</xdr:col>
      <xdr:colOff>323850</xdr:colOff>
      <xdr:row>6</xdr:row>
      <xdr:rowOff>38100</xdr:rowOff>
    </xdr:from>
    <xdr:to>
      <xdr:col>8</xdr:col>
      <xdr:colOff>228228</xdr:colOff>
      <xdr:row>9</xdr:row>
      <xdr:rowOff>22154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7E1F493E-1738-4EF4-B4BA-C7EDCFFC3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29400" y="1257300"/>
          <a:ext cx="2980954" cy="555554"/>
        </a:xfrm>
        <a:prstGeom prst="rect">
          <a:avLst/>
        </a:prstGeom>
      </xdr:spPr>
    </xdr:pic>
    <xdr:clientData/>
  </xdr:twoCellAnchor>
  <xdr:twoCellAnchor editAs="oneCell">
    <xdr:from>
      <xdr:col>40</xdr:col>
      <xdr:colOff>135424</xdr:colOff>
      <xdr:row>12</xdr:row>
      <xdr:rowOff>86935</xdr:rowOff>
    </xdr:from>
    <xdr:to>
      <xdr:col>40</xdr:col>
      <xdr:colOff>154144</xdr:colOff>
      <xdr:row>13</xdr:row>
      <xdr:rowOff>36059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" name="Input penna 1">
              <a:extLst>
                <a:ext uri="{FF2B5EF4-FFF2-40B4-BE49-F238E27FC236}">
                  <a16:creationId xmlns:a16="http://schemas.microsoft.com/office/drawing/2014/main" id="{60974A06-CC17-4A5D-B82E-69E8A88DE4C9}"/>
                </a:ext>
              </a:extLst>
            </xdr14:cNvPr>
            <xdr14:cNvContentPartPr/>
          </xdr14:nvContentPartPr>
          <xdr14:nvPr macro=""/>
          <xdr14:xfrm>
            <a:off x="22741936" y="2432338"/>
            <a:ext cx="18720" cy="138600"/>
          </xdr14:xfrm>
        </xdr:contentPart>
      </mc:Choice>
      <mc:Fallback xmlns="">
        <xdr:pic>
          <xdr:nvPicPr>
            <xdr:cNvPr id="2" name="Input penna 1">
              <a:extLst>
                <a:ext uri="{FF2B5EF4-FFF2-40B4-BE49-F238E27FC236}">
                  <a16:creationId xmlns:a16="http://schemas.microsoft.com/office/drawing/2014/main" id="{60974A06-CC17-4A5D-B82E-69E8A88DE4C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2733296" y="2423338"/>
              <a:ext cx="3636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40</xdr:col>
      <xdr:colOff>104824</xdr:colOff>
      <xdr:row>12</xdr:row>
      <xdr:rowOff>168655</xdr:rowOff>
    </xdr:from>
    <xdr:to>
      <xdr:col>40</xdr:col>
      <xdr:colOff>188344</xdr:colOff>
      <xdr:row>12</xdr:row>
      <xdr:rowOff>174055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3" name="Input penna 2">
              <a:extLst>
                <a:ext uri="{FF2B5EF4-FFF2-40B4-BE49-F238E27FC236}">
                  <a16:creationId xmlns:a16="http://schemas.microsoft.com/office/drawing/2014/main" id="{3287D5AA-4669-491B-A7D0-356516003B5C}"/>
                </a:ext>
              </a:extLst>
            </xdr14:cNvPr>
            <xdr14:cNvContentPartPr/>
          </xdr14:nvContentPartPr>
          <xdr14:nvPr macro=""/>
          <xdr14:xfrm>
            <a:off x="22711336" y="2514058"/>
            <a:ext cx="83520" cy="5400"/>
          </xdr14:xfrm>
        </xdr:contentPart>
      </mc:Choice>
      <mc:Fallback xmlns="">
        <xdr:pic>
          <xdr:nvPicPr>
            <xdr:cNvPr id="3" name="Input penna 2">
              <a:extLst>
                <a:ext uri="{FF2B5EF4-FFF2-40B4-BE49-F238E27FC236}">
                  <a16:creationId xmlns:a16="http://schemas.microsoft.com/office/drawing/2014/main" id="{3287D5AA-4669-491B-A7D0-356516003B5C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2702696" y="2505418"/>
              <a:ext cx="10116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39</xdr:col>
      <xdr:colOff>606579</xdr:colOff>
      <xdr:row>36</xdr:row>
      <xdr:rowOff>66252</xdr:rowOff>
    </xdr:from>
    <xdr:to>
      <xdr:col>40</xdr:col>
      <xdr:colOff>106919</xdr:colOff>
      <xdr:row>36</xdr:row>
      <xdr:rowOff>69787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" name="Input penna 3">
              <a:extLst>
                <a:ext uri="{FF2B5EF4-FFF2-40B4-BE49-F238E27FC236}">
                  <a16:creationId xmlns:a16="http://schemas.microsoft.com/office/drawing/2014/main" id="{4EAAFB55-3D22-45F0-96BC-A9969CFED9FF}"/>
                </a:ext>
              </a:extLst>
            </xdr14:cNvPr>
            <xdr14:cNvContentPartPr/>
          </xdr14:nvContentPartPr>
          <xdr14:nvPr macro=""/>
          <xdr14:xfrm>
            <a:off x="22603696" y="6854095"/>
            <a:ext cx="106560" cy="360"/>
          </xdr14:xfrm>
        </xdr:contentPart>
      </mc:Choice>
      <mc:Fallback xmlns="">
        <xdr:pic>
          <xdr:nvPicPr>
            <xdr:cNvPr id="4" name="Input penna 3">
              <a:extLst>
                <a:ext uri="{FF2B5EF4-FFF2-40B4-BE49-F238E27FC236}">
                  <a16:creationId xmlns:a16="http://schemas.microsoft.com/office/drawing/2014/main" id="{4EAAFB55-3D22-45F0-96BC-A9969CFED9F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2595056" y="6845455"/>
              <a:ext cx="1242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40</xdr:col>
      <xdr:colOff>45784</xdr:colOff>
      <xdr:row>36</xdr:row>
      <xdr:rowOff>2532</xdr:rowOff>
    </xdr:from>
    <xdr:to>
      <xdr:col>40</xdr:col>
      <xdr:colOff>66239</xdr:colOff>
      <xdr:row>36</xdr:row>
      <xdr:rowOff>115932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5" name="Input penna 4">
              <a:extLst>
                <a:ext uri="{FF2B5EF4-FFF2-40B4-BE49-F238E27FC236}">
                  <a16:creationId xmlns:a16="http://schemas.microsoft.com/office/drawing/2014/main" id="{229652EE-DCFF-4840-BF0C-7AB147A71403}"/>
                </a:ext>
              </a:extLst>
            </xdr14:cNvPr>
            <xdr14:cNvContentPartPr/>
          </xdr14:nvContentPartPr>
          <xdr14:nvPr macro=""/>
          <xdr14:xfrm>
            <a:off x="22652296" y="6790375"/>
            <a:ext cx="17280" cy="113400"/>
          </xdr14:xfrm>
        </xdr:contentPart>
      </mc:Choice>
      <mc:Fallback xmlns="">
        <xdr:pic>
          <xdr:nvPicPr>
            <xdr:cNvPr id="5" name="Input penna 4">
              <a:extLst>
                <a:ext uri="{FF2B5EF4-FFF2-40B4-BE49-F238E27FC236}">
                  <a16:creationId xmlns:a16="http://schemas.microsoft.com/office/drawing/2014/main" id="{229652EE-DCFF-4840-BF0C-7AB147A71403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2643656" y="6781375"/>
              <a:ext cx="34920" cy="1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392925</xdr:colOff>
      <xdr:row>26</xdr:row>
      <xdr:rowOff>94991</xdr:rowOff>
    </xdr:from>
    <xdr:to>
      <xdr:col>2</xdr:col>
      <xdr:colOff>395740</xdr:colOff>
      <xdr:row>26</xdr:row>
      <xdr:rowOff>95351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6" name="Input penna 5">
              <a:extLst>
                <a:ext uri="{FF2B5EF4-FFF2-40B4-BE49-F238E27FC236}">
                  <a16:creationId xmlns:a16="http://schemas.microsoft.com/office/drawing/2014/main" id="{07FEA15F-8302-4B40-9F1D-F36EA6C3A375}"/>
                </a:ext>
              </a:extLst>
            </xdr14:cNvPr>
            <xdr14:cNvContentPartPr/>
          </xdr14:nvContentPartPr>
          <xdr14:nvPr macro=""/>
          <xdr14:xfrm>
            <a:off x="5095894" y="5178960"/>
            <a:ext cx="360" cy="360"/>
          </xdr14:xfrm>
        </xdr:contentPart>
      </mc:Choice>
      <mc:Fallback xmlns="">
        <xdr:pic>
          <xdr:nvPicPr>
            <xdr:cNvPr id="6" name="Input penna 5">
              <a:extLst>
                <a:ext uri="{FF2B5EF4-FFF2-40B4-BE49-F238E27FC236}">
                  <a16:creationId xmlns:a16="http://schemas.microsoft.com/office/drawing/2014/main" id="{07FEA15F-8302-4B40-9F1D-F36EA6C3A375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087254" y="5169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445861</xdr:colOff>
      <xdr:row>98</xdr:row>
      <xdr:rowOff>184149</xdr:rowOff>
    </xdr:from>
    <xdr:to>
      <xdr:col>17</xdr:col>
      <xdr:colOff>244929</xdr:colOff>
      <xdr:row>135</xdr:row>
      <xdr:rowOff>7257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7AA2C3C-ACFD-4D1C-9F79-6CDD769E7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5</xdr:row>
      <xdr:rowOff>139700</xdr:rowOff>
    </xdr:from>
    <xdr:ext cx="2221121" cy="609013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DCD742AC-F489-4F31-A197-EF395A88222F}"/>
            </a:ext>
          </a:extLst>
        </xdr:cNvPr>
        <xdr:cNvSpPr txBox="1"/>
      </xdr:nvSpPr>
      <xdr:spPr>
        <a:xfrm>
          <a:off x="2952750" y="1063625"/>
          <a:ext cx="222112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For</a:t>
          </a:r>
          <a:r>
            <a:rPr lang="it-IT" sz="1100" baseline="0"/>
            <a:t> each element select</a:t>
          </a:r>
        </a:p>
        <a:p>
          <a:r>
            <a:rPr lang="it-IT" sz="1100" baseline="0"/>
            <a:t>an aboundant and stable substance</a:t>
          </a:r>
        </a:p>
        <a:p>
          <a:r>
            <a:rPr lang="it-IT" sz="1100" baseline="0"/>
            <a:t>                      --&gt;</a:t>
          </a:r>
          <a:endParaRPr lang="it-IT" sz="1100"/>
        </a:p>
      </xdr:txBody>
    </xdr:sp>
    <xdr:clientData/>
  </xdr:oneCellAnchor>
  <xdr:twoCellAnchor editAs="oneCell">
    <xdr:from>
      <xdr:col>0</xdr:col>
      <xdr:colOff>34925</xdr:colOff>
      <xdr:row>10</xdr:row>
      <xdr:rowOff>9525</xdr:rowOff>
    </xdr:from>
    <xdr:to>
      <xdr:col>12</xdr:col>
      <xdr:colOff>31361</xdr:colOff>
      <xdr:row>23</xdr:row>
      <xdr:rowOff>25986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286FA55-26F8-4560-9913-D38B31B4F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" y="1838325"/>
          <a:ext cx="7710098" cy="2381836"/>
        </a:xfrm>
        <a:prstGeom prst="rect">
          <a:avLst/>
        </a:prstGeom>
      </xdr:spPr>
    </xdr:pic>
    <xdr:clientData/>
  </xdr:twoCellAnchor>
  <xdr:oneCellAnchor>
    <xdr:from>
      <xdr:col>1</xdr:col>
      <xdr:colOff>142875</xdr:colOff>
      <xdr:row>54</xdr:row>
      <xdr:rowOff>15875</xdr:rowOff>
    </xdr:from>
    <xdr:ext cx="17270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A209BB0C-0A32-42FD-B634-20904F1BD4AC}"/>
                </a:ext>
              </a:extLst>
            </xdr:cNvPr>
            <xdr:cNvSpPr txBox="1"/>
          </xdr:nvSpPr>
          <xdr:spPr>
            <a:xfrm>
              <a:off x="752475" y="10347325"/>
              <a:ext cx="17270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−→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A209BB0C-0A32-42FD-B634-20904F1BD4AC}"/>
                </a:ext>
              </a:extLst>
            </xdr:cNvPr>
            <xdr:cNvSpPr txBox="1"/>
          </xdr:nvSpPr>
          <xdr:spPr>
            <a:xfrm>
              <a:off x="752475" y="10347325"/>
              <a:ext cx="17270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𝐶𝐻_4+2𝑂_2−→𝐶𝑂_2+2𝐻_2 𝑂</a:t>
              </a:r>
              <a:endParaRPr lang="it-IT" sz="1100"/>
            </a:p>
          </xdr:txBody>
        </xdr:sp>
      </mc:Fallback>
    </mc:AlternateContent>
    <xdr:clientData/>
  </xdr:oneCellAnchor>
  <xdr:twoCellAnchor editAs="oneCell">
    <xdr:from>
      <xdr:col>6</xdr:col>
      <xdr:colOff>360095</xdr:colOff>
      <xdr:row>30</xdr:row>
      <xdr:rowOff>37150</xdr:rowOff>
    </xdr:from>
    <xdr:to>
      <xdr:col>6</xdr:col>
      <xdr:colOff>360455</xdr:colOff>
      <xdr:row>30</xdr:row>
      <xdr:rowOff>44350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0" name="Input penna 9">
              <a:extLst>
                <a:ext uri="{FF2B5EF4-FFF2-40B4-BE49-F238E27FC236}">
                  <a16:creationId xmlns:a16="http://schemas.microsoft.com/office/drawing/2014/main" id="{A1FC2698-41F6-4DAC-8DAF-BE30A1826FFD}"/>
                </a:ext>
              </a:extLst>
            </xdr14:cNvPr>
            <xdr14:cNvContentPartPr/>
          </xdr14:nvContentPartPr>
          <xdr14:nvPr macro=""/>
          <xdr14:xfrm>
            <a:off x="4193908" y="5593400"/>
            <a:ext cx="360" cy="7200"/>
          </xdr14:xfrm>
        </xdr:contentPart>
      </mc:Choice>
      <mc:Fallback xmlns="">
        <xdr:pic>
          <xdr:nvPicPr>
            <xdr:cNvPr id="10" name="Input penna 9">
              <a:extLst>
                <a:ext uri="{FF2B5EF4-FFF2-40B4-BE49-F238E27FC236}">
                  <a16:creationId xmlns:a16="http://schemas.microsoft.com/office/drawing/2014/main" id="{A1FC2698-41F6-4DAC-8DAF-BE30A1826FF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185268" y="5584760"/>
              <a:ext cx="1800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352990</xdr:colOff>
      <xdr:row>30</xdr:row>
      <xdr:rowOff>111670</xdr:rowOff>
    </xdr:from>
    <xdr:to>
      <xdr:col>3</xdr:col>
      <xdr:colOff>71923</xdr:colOff>
      <xdr:row>34</xdr:row>
      <xdr:rowOff>52785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3" name="Input penna 12">
              <a:extLst>
                <a:ext uri="{FF2B5EF4-FFF2-40B4-BE49-F238E27FC236}">
                  <a16:creationId xmlns:a16="http://schemas.microsoft.com/office/drawing/2014/main" id="{7DD27A4B-AF45-4B9D-A44A-EBAF2F975037}"/>
                </a:ext>
              </a:extLst>
            </xdr14:cNvPr>
            <xdr14:cNvContentPartPr/>
          </xdr14:nvContentPartPr>
          <xdr14:nvPr macro=""/>
          <xdr14:xfrm>
            <a:off x="1694428" y="5667920"/>
            <a:ext cx="330120" cy="687240"/>
          </xdr14:xfrm>
        </xdr:contentPart>
      </mc:Choice>
      <mc:Fallback xmlns="">
        <xdr:pic>
          <xdr:nvPicPr>
            <xdr:cNvPr id="13" name="Input penna 12">
              <a:extLst>
                <a:ext uri="{FF2B5EF4-FFF2-40B4-BE49-F238E27FC236}">
                  <a16:creationId xmlns:a16="http://schemas.microsoft.com/office/drawing/2014/main" id="{7DD27A4B-AF45-4B9D-A44A-EBAF2F975037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685788" y="5659280"/>
              <a:ext cx="347760" cy="70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219520</xdr:colOff>
      <xdr:row>30</xdr:row>
      <xdr:rowOff>95110</xdr:rowOff>
    </xdr:from>
    <xdr:to>
      <xdr:col>8</xdr:col>
      <xdr:colOff>379360</xdr:colOff>
      <xdr:row>33</xdr:row>
      <xdr:rowOff>110787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6" name="Input penna 15">
              <a:extLst>
                <a:ext uri="{FF2B5EF4-FFF2-40B4-BE49-F238E27FC236}">
                  <a16:creationId xmlns:a16="http://schemas.microsoft.com/office/drawing/2014/main" id="{756D6763-04D9-4943-8FEE-31B0A6D2C4DE}"/>
                </a:ext>
              </a:extLst>
            </xdr14:cNvPr>
            <xdr14:cNvContentPartPr/>
          </xdr14:nvContentPartPr>
          <xdr14:nvPr macro=""/>
          <xdr14:xfrm>
            <a:off x="5275708" y="5651360"/>
            <a:ext cx="159840" cy="579240"/>
          </xdr14:xfrm>
        </xdr:contentPart>
      </mc:Choice>
      <mc:Fallback xmlns="">
        <xdr:pic>
          <xdr:nvPicPr>
            <xdr:cNvPr id="16" name="Input penna 15">
              <a:extLst>
                <a:ext uri="{FF2B5EF4-FFF2-40B4-BE49-F238E27FC236}">
                  <a16:creationId xmlns:a16="http://schemas.microsoft.com/office/drawing/2014/main" id="{756D6763-04D9-4943-8FEE-31B0A6D2C4D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266708" y="5642360"/>
              <a:ext cx="177480" cy="59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18988</xdr:colOff>
      <xdr:row>30</xdr:row>
      <xdr:rowOff>107350</xdr:rowOff>
    </xdr:from>
    <xdr:to>
      <xdr:col>13</xdr:col>
      <xdr:colOff>283915</xdr:colOff>
      <xdr:row>34</xdr:row>
      <xdr:rowOff>6345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5" name="Input penna 34">
              <a:extLst>
                <a:ext uri="{FF2B5EF4-FFF2-40B4-BE49-F238E27FC236}">
                  <a16:creationId xmlns:a16="http://schemas.microsoft.com/office/drawing/2014/main" id="{98C9FAAD-50A9-42DF-BC17-5D2413B09EB7}"/>
                </a:ext>
              </a:extLst>
            </xdr14:cNvPr>
            <xdr14:cNvContentPartPr/>
          </xdr14:nvContentPartPr>
          <xdr14:nvPr macro=""/>
          <xdr14:xfrm>
            <a:off x="5733988" y="5663600"/>
            <a:ext cx="2892240" cy="645120"/>
          </xdr14:xfrm>
        </xdr:contentPart>
      </mc:Choice>
      <mc:Fallback xmlns="">
        <xdr:pic>
          <xdr:nvPicPr>
            <xdr:cNvPr id="35" name="Input penna 34">
              <a:extLst>
                <a:ext uri="{FF2B5EF4-FFF2-40B4-BE49-F238E27FC236}">
                  <a16:creationId xmlns:a16="http://schemas.microsoft.com/office/drawing/2014/main" id="{98C9FAAD-50A9-42DF-BC17-5D2413B09EB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724926" y="5654941"/>
              <a:ext cx="2910002" cy="662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474390</xdr:colOff>
      <xdr:row>34</xdr:row>
      <xdr:rowOff>174465</xdr:rowOff>
    </xdr:from>
    <xdr:to>
      <xdr:col>7</xdr:col>
      <xdr:colOff>62828</xdr:colOff>
      <xdr:row>37</xdr:row>
      <xdr:rowOff>118880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44" name="Input penna 43">
              <a:extLst>
                <a:ext uri="{FF2B5EF4-FFF2-40B4-BE49-F238E27FC236}">
                  <a16:creationId xmlns:a16="http://schemas.microsoft.com/office/drawing/2014/main" id="{783B24E3-4F7F-478A-87E9-0C1313285B13}"/>
                </a:ext>
              </a:extLst>
            </xdr14:cNvPr>
            <xdr14:cNvContentPartPr/>
          </xdr14:nvContentPartPr>
          <xdr14:nvPr macro=""/>
          <xdr14:xfrm>
            <a:off x="3085828" y="6476840"/>
            <a:ext cx="1422000" cy="500040"/>
          </xdr14:xfrm>
        </xdr:contentPart>
      </mc:Choice>
      <mc:Fallback xmlns="">
        <xdr:pic>
          <xdr:nvPicPr>
            <xdr:cNvPr id="44" name="Input penna 43">
              <a:extLst>
                <a:ext uri="{FF2B5EF4-FFF2-40B4-BE49-F238E27FC236}">
                  <a16:creationId xmlns:a16="http://schemas.microsoft.com/office/drawing/2014/main" id="{783B24E3-4F7F-478A-87E9-0C1313285B1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076830" y="6468200"/>
              <a:ext cx="1439636" cy="51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403388</xdr:colOff>
      <xdr:row>34</xdr:row>
      <xdr:rowOff>171225</xdr:rowOff>
    </xdr:from>
    <xdr:to>
      <xdr:col>8</xdr:col>
      <xdr:colOff>524800</xdr:colOff>
      <xdr:row>37</xdr:row>
      <xdr:rowOff>91520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7" name="Input penna 46">
              <a:extLst>
                <a:ext uri="{FF2B5EF4-FFF2-40B4-BE49-F238E27FC236}">
                  <a16:creationId xmlns:a16="http://schemas.microsoft.com/office/drawing/2014/main" id="{EE266DD0-CBCD-44F6-8FC2-01233AD6A34B}"/>
                </a:ext>
              </a:extLst>
            </xdr14:cNvPr>
            <xdr14:cNvContentPartPr/>
          </xdr14:nvContentPartPr>
          <xdr14:nvPr macro=""/>
          <xdr14:xfrm>
            <a:off x="4848388" y="6473600"/>
            <a:ext cx="732600" cy="475920"/>
          </xdr14:xfrm>
        </xdr:contentPart>
      </mc:Choice>
      <mc:Fallback xmlns="">
        <xdr:pic>
          <xdr:nvPicPr>
            <xdr:cNvPr id="47" name="Input penna 46">
              <a:extLst>
                <a:ext uri="{FF2B5EF4-FFF2-40B4-BE49-F238E27FC236}">
                  <a16:creationId xmlns:a16="http://schemas.microsoft.com/office/drawing/2014/main" id="{EE266DD0-CBCD-44F6-8FC2-01233AD6A34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839748" y="6464600"/>
              <a:ext cx="750240" cy="49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317428</xdr:colOff>
      <xdr:row>34</xdr:row>
      <xdr:rowOff>54225</xdr:rowOff>
    </xdr:from>
    <xdr:to>
      <xdr:col>10</xdr:col>
      <xdr:colOff>225063</xdr:colOff>
      <xdr:row>37</xdr:row>
      <xdr:rowOff>146600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54" name="Input penna 53">
              <a:extLst>
                <a:ext uri="{FF2B5EF4-FFF2-40B4-BE49-F238E27FC236}">
                  <a16:creationId xmlns:a16="http://schemas.microsoft.com/office/drawing/2014/main" id="{56968EA5-50EA-4C5B-A56B-7E6D7FEA1A80}"/>
                </a:ext>
              </a:extLst>
            </xdr14:cNvPr>
            <xdr14:cNvContentPartPr/>
          </xdr14:nvContentPartPr>
          <xdr14:nvPr macro=""/>
          <xdr14:xfrm>
            <a:off x="6032428" y="6356600"/>
            <a:ext cx="653760" cy="648000"/>
          </xdr14:xfrm>
        </xdr:contentPart>
      </mc:Choice>
      <mc:Fallback xmlns="">
        <xdr:pic>
          <xdr:nvPicPr>
            <xdr:cNvPr id="54" name="Input penna 53">
              <a:extLst>
                <a:ext uri="{FF2B5EF4-FFF2-40B4-BE49-F238E27FC236}">
                  <a16:creationId xmlns:a16="http://schemas.microsoft.com/office/drawing/2014/main" id="{56968EA5-50EA-4C5B-A56B-7E6D7FEA1A80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023783" y="6347600"/>
              <a:ext cx="671410" cy="66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49870</xdr:colOff>
      <xdr:row>30</xdr:row>
      <xdr:rowOff>55510</xdr:rowOff>
    </xdr:from>
    <xdr:to>
      <xdr:col>2</xdr:col>
      <xdr:colOff>552070</xdr:colOff>
      <xdr:row>30</xdr:row>
      <xdr:rowOff>84310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55" name="Input penna 54">
              <a:extLst>
                <a:ext uri="{FF2B5EF4-FFF2-40B4-BE49-F238E27FC236}">
                  <a16:creationId xmlns:a16="http://schemas.microsoft.com/office/drawing/2014/main" id="{C701B111-5C83-4D72-9AFD-CBE403919991}"/>
                </a:ext>
              </a:extLst>
            </xdr14:cNvPr>
            <xdr14:cNvContentPartPr/>
          </xdr14:nvContentPartPr>
          <xdr14:nvPr macro=""/>
          <xdr14:xfrm>
            <a:off x="1391308" y="5611760"/>
            <a:ext cx="502200" cy="28800"/>
          </xdr14:xfrm>
        </xdr:contentPart>
      </mc:Choice>
      <mc:Fallback xmlns="">
        <xdr:pic>
          <xdr:nvPicPr>
            <xdr:cNvPr id="55" name="Input penna 54">
              <a:extLst>
                <a:ext uri="{FF2B5EF4-FFF2-40B4-BE49-F238E27FC236}">
                  <a16:creationId xmlns:a16="http://schemas.microsoft.com/office/drawing/2014/main" id="{C701B111-5C83-4D72-9AFD-CBE403919991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382308" y="5603120"/>
              <a:ext cx="51984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57520</xdr:colOff>
      <xdr:row>30</xdr:row>
      <xdr:rowOff>63790</xdr:rowOff>
    </xdr:from>
    <xdr:to>
      <xdr:col>8</xdr:col>
      <xdr:colOff>563320</xdr:colOff>
      <xdr:row>30</xdr:row>
      <xdr:rowOff>85390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56" name="Input penna 55">
              <a:extLst>
                <a:ext uri="{FF2B5EF4-FFF2-40B4-BE49-F238E27FC236}">
                  <a16:creationId xmlns:a16="http://schemas.microsoft.com/office/drawing/2014/main" id="{C29CC0CA-154A-4435-BD99-FD837D0530F4}"/>
                </a:ext>
              </a:extLst>
            </xdr14:cNvPr>
            <xdr14:cNvContentPartPr/>
          </xdr14:nvContentPartPr>
          <xdr14:nvPr macro=""/>
          <xdr14:xfrm>
            <a:off x="5113708" y="5620040"/>
            <a:ext cx="505800" cy="21600"/>
          </xdr14:xfrm>
        </xdr:contentPart>
      </mc:Choice>
      <mc:Fallback xmlns="">
        <xdr:pic>
          <xdr:nvPicPr>
            <xdr:cNvPr id="56" name="Input penna 55">
              <a:extLst>
                <a:ext uri="{FF2B5EF4-FFF2-40B4-BE49-F238E27FC236}">
                  <a16:creationId xmlns:a16="http://schemas.microsoft.com/office/drawing/2014/main" id="{C29CC0CA-154A-4435-BD99-FD837D0530F4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105068" y="5611400"/>
              <a:ext cx="52344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86320</xdr:colOff>
      <xdr:row>30</xdr:row>
      <xdr:rowOff>34990</xdr:rowOff>
    </xdr:from>
    <xdr:to>
      <xdr:col>13</xdr:col>
      <xdr:colOff>575155</xdr:colOff>
      <xdr:row>30</xdr:row>
      <xdr:rowOff>113110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57" name="Input penna 56">
              <a:extLst>
                <a:ext uri="{FF2B5EF4-FFF2-40B4-BE49-F238E27FC236}">
                  <a16:creationId xmlns:a16="http://schemas.microsoft.com/office/drawing/2014/main" id="{02A331AD-3D47-438E-BB10-01C82A2E76D0}"/>
                </a:ext>
              </a:extLst>
            </xdr14:cNvPr>
            <xdr14:cNvContentPartPr/>
          </xdr14:nvContentPartPr>
          <xdr14:nvPr macro=""/>
          <xdr14:xfrm>
            <a:off x="5142508" y="5591240"/>
            <a:ext cx="3774960" cy="78120"/>
          </xdr14:xfrm>
        </xdr:contentPart>
      </mc:Choice>
      <mc:Fallback xmlns="">
        <xdr:pic>
          <xdr:nvPicPr>
            <xdr:cNvPr id="57" name="Input penna 56">
              <a:extLst>
                <a:ext uri="{FF2B5EF4-FFF2-40B4-BE49-F238E27FC236}">
                  <a16:creationId xmlns:a16="http://schemas.microsoft.com/office/drawing/2014/main" id="{02A331AD-3D47-438E-BB10-01C82A2E76D0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133868" y="5582240"/>
              <a:ext cx="3792600" cy="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24670</xdr:colOff>
      <xdr:row>30</xdr:row>
      <xdr:rowOff>35350</xdr:rowOff>
    </xdr:from>
    <xdr:to>
      <xdr:col>2</xdr:col>
      <xdr:colOff>531550</xdr:colOff>
      <xdr:row>30</xdr:row>
      <xdr:rowOff>109150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58" name="Input penna 57">
              <a:extLst>
                <a:ext uri="{FF2B5EF4-FFF2-40B4-BE49-F238E27FC236}">
                  <a16:creationId xmlns:a16="http://schemas.microsoft.com/office/drawing/2014/main" id="{77EA4C32-08A5-4C45-AAEB-51458EDAEF50}"/>
                </a:ext>
              </a:extLst>
            </xdr14:cNvPr>
            <xdr14:cNvContentPartPr/>
          </xdr14:nvContentPartPr>
          <xdr14:nvPr macro=""/>
          <xdr14:xfrm>
            <a:off x="1366108" y="5591600"/>
            <a:ext cx="506880" cy="73800"/>
          </xdr14:xfrm>
        </xdr:contentPart>
      </mc:Choice>
      <mc:Fallback xmlns="">
        <xdr:pic>
          <xdr:nvPicPr>
            <xdr:cNvPr id="58" name="Input penna 57">
              <a:extLst>
                <a:ext uri="{FF2B5EF4-FFF2-40B4-BE49-F238E27FC236}">
                  <a16:creationId xmlns:a16="http://schemas.microsoft.com/office/drawing/2014/main" id="{77EA4C32-08A5-4C45-AAEB-51458EDAEF50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357108" y="5582600"/>
              <a:ext cx="524520" cy="9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0</xdr:colOff>
      <xdr:row>64</xdr:row>
      <xdr:rowOff>0</xdr:rowOff>
    </xdr:from>
    <xdr:to>
      <xdr:col>5</xdr:col>
      <xdr:colOff>382758</xdr:colOff>
      <xdr:row>67</xdr:row>
      <xdr:rowOff>9416</xdr:rowOff>
    </xdr:to>
    <xdr:pic>
      <xdr:nvPicPr>
        <xdr:cNvPr id="59" name="Immagine 58">
          <a:extLst>
            <a:ext uri="{FF2B5EF4-FFF2-40B4-BE49-F238E27FC236}">
              <a16:creationId xmlns:a16="http://schemas.microsoft.com/office/drawing/2014/main" id="{E88ACC32-A032-45FD-8938-2D0B52CBD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11188" y="12263438"/>
          <a:ext cx="2994195" cy="5571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56</xdr:row>
      <xdr:rowOff>8731</xdr:rowOff>
    </xdr:from>
    <xdr:ext cx="734625" cy="436786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8C5590E-48D0-40E9-8F30-57545C69A58F}"/>
            </a:ext>
          </a:extLst>
        </xdr:cNvPr>
        <xdr:cNvSpPr txBox="1"/>
      </xdr:nvSpPr>
      <xdr:spPr>
        <a:xfrm>
          <a:off x="190500" y="11394281"/>
          <a:ext cx="7346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>
              <a:solidFill>
                <a:srgbClr val="FF0000"/>
              </a:solidFill>
            </a:rPr>
            <a:t>Incidence</a:t>
          </a:r>
        </a:p>
        <a:p>
          <a:r>
            <a:rPr lang="it-IT" sz="1100">
              <a:solidFill>
                <a:srgbClr val="FF0000"/>
              </a:solidFill>
            </a:rPr>
            <a:t>Matrix A</a:t>
          </a:r>
        </a:p>
      </xdr:txBody>
    </xdr:sp>
    <xdr:clientData/>
  </xdr:oneCellAnchor>
  <xdr:oneCellAnchor>
    <xdr:from>
      <xdr:col>0</xdr:col>
      <xdr:colOff>166687</xdr:colOff>
      <xdr:row>61</xdr:row>
      <xdr:rowOff>151606</xdr:rowOff>
    </xdr:from>
    <xdr:ext cx="753989" cy="436786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BF0F3CEF-E033-43E9-A6B5-A844D0DC0E9C}"/>
            </a:ext>
          </a:extLst>
        </xdr:cNvPr>
        <xdr:cNvSpPr txBox="1"/>
      </xdr:nvSpPr>
      <xdr:spPr>
        <a:xfrm>
          <a:off x="163512" y="12486481"/>
          <a:ext cx="7539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>
              <a:solidFill>
                <a:srgbClr val="00B0F0"/>
              </a:solidFill>
            </a:rPr>
            <a:t>P1, P2 </a:t>
          </a:r>
        </a:p>
        <a:p>
          <a:r>
            <a:rPr lang="it-IT" sz="1100">
              <a:solidFill>
                <a:srgbClr val="00B0F0"/>
              </a:solidFill>
            </a:rPr>
            <a:t>equations</a:t>
          </a:r>
        </a:p>
      </xdr:txBody>
    </xdr:sp>
    <xdr:clientData/>
  </xdr:oneCellAnchor>
  <xdr:oneCellAnchor>
    <xdr:from>
      <xdr:col>0</xdr:col>
      <xdr:colOff>181769</xdr:colOff>
      <xdr:row>68</xdr:row>
      <xdr:rowOff>65285</xdr:rowOff>
    </xdr:from>
    <xdr:ext cx="753989" cy="436786"/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8A508A72-217E-40A3-9705-FA7D54BF34F7}"/>
            </a:ext>
          </a:extLst>
        </xdr:cNvPr>
        <xdr:cNvSpPr txBox="1"/>
      </xdr:nvSpPr>
      <xdr:spPr>
        <a:xfrm>
          <a:off x="181769" y="13251457"/>
          <a:ext cx="7539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>
              <a:solidFill>
                <a:srgbClr val="00B050"/>
              </a:solidFill>
            </a:rPr>
            <a:t>P3,P4</a:t>
          </a:r>
        </a:p>
        <a:p>
          <a:r>
            <a:rPr lang="it-IT" sz="1100">
              <a:solidFill>
                <a:srgbClr val="00B050"/>
              </a:solidFill>
            </a:rPr>
            <a:t>equations</a:t>
          </a:r>
        </a:p>
      </xdr:txBody>
    </xdr:sp>
    <xdr:clientData/>
  </xdr:oneCellAnchor>
  <xdr:oneCellAnchor>
    <xdr:from>
      <xdr:col>25</xdr:col>
      <xdr:colOff>202406</xdr:colOff>
      <xdr:row>52</xdr:row>
      <xdr:rowOff>65087</xdr:rowOff>
    </xdr:from>
    <xdr:ext cx="6149183" cy="5496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BE81D1AA-A795-46E0-BE47-C19C5DB226FF}"/>
                </a:ext>
              </a:extLst>
            </xdr:cNvPr>
            <xdr:cNvSpPr txBox="1"/>
          </xdr:nvSpPr>
          <xdr:spPr>
            <a:xfrm>
              <a:off x="6504781" y="15413037"/>
              <a:ext cx="6149183" cy="549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it-IT" sz="2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2800" b="1" i="1">
                            <a:latin typeface="Cambria Math" panose="02040503050406030204" pitchFamily="18" charset="0"/>
                          </a:rPr>
                          <m:t>𝑨𝒄</m:t>
                        </m:r>
                      </m:e>
                    </m:d>
                    <m:r>
                      <a:rPr lang="it-IT" sz="2800" b="1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it-IT" sz="28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2800" b="1" i="1">
                            <a:latin typeface="Cambria Math" panose="02040503050406030204" pitchFamily="18" charset="0"/>
                          </a:rPr>
                          <m:t>𝑬</m:t>
                        </m:r>
                      </m:e>
                      <m:sup>
                        <m:r>
                          <a:rPr lang="it-IT" sz="2800" b="1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it-IT" sz="28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2800" b="1" i="1">
                        <a:latin typeface="Cambria Math" panose="02040503050406030204" pitchFamily="18" charset="0"/>
                      </a:rPr>
                      <m:t>𝒀𝒆</m:t>
                    </m:r>
                    <m:r>
                      <a:rPr lang="it-IT" sz="2800" b="1" i="1">
                        <a:latin typeface="Cambria Math" panose="02040503050406030204" pitchFamily="18" charset="0"/>
                      </a:rPr>
                      <m:t>   →   </m:t>
                    </m:r>
                    <m:sSup>
                      <m:sSupPr>
                        <m:ctrlPr>
                          <a:rPr lang="it-IT" sz="2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2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𝑬</m:t>
                        </m:r>
                      </m:e>
                      <m:sup>
                        <m:r>
                          <a:rPr lang="it-IT" sz="2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it-IT" sz="2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2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it-IT" sz="2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2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𝑨𝒄</m:t>
                            </m:r>
                          </m:e>
                        </m:d>
                      </m:e>
                      <m:sup>
                        <m:r>
                          <a:rPr lang="it-IT" sz="2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it-IT" sz="2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sup>
                    </m:sSup>
                    <m:r>
                      <a:rPr lang="it-IT" sz="2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it-IT" sz="2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𝒀𝒆</m:t>
                    </m:r>
                  </m:oMath>
                </m:oMathPara>
              </a14:m>
              <a:endParaRPr lang="it-IT" sz="2800" b="1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BE81D1AA-A795-46E0-BE47-C19C5DB226FF}"/>
                </a:ext>
              </a:extLst>
            </xdr:cNvPr>
            <xdr:cNvSpPr txBox="1"/>
          </xdr:nvSpPr>
          <xdr:spPr>
            <a:xfrm>
              <a:off x="6504781" y="15413037"/>
              <a:ext cx="6149183" cy="549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:r>
                <a:rPr lang="it-IT" sz="2800" b="1" i="0">
                  <a:latin typeface="Cambria Math" panose="02040503050406030204" pitchFamily="18" charset="0"/>
                </a:rPr>
                <a:t>[𝑨𝒄]∗𝑬^∗=𝒀𝒆   →   </a:t>
              </a:r>
              <a:r>
                <a:rPr lang="it-IT" sz="2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𝑬^∗=[𝑨𝒄]^(−𝟏)∗𝒀𝒆</a:t>
              </a:r>
              <a:endParaRPr lang="it-IT" sz="2800" b="1"/>
            </a:p>
          </xdr:txBody>
        </xdr:sp>
      </mc:Fallback>
    </mc:AlternateContent>
    <xdr:clientData/>
  </xdr:oneCellAnchor>
  <xdr:oneCellAnchor>
    <xdr:from>
      <xdr:col>0</xdr:col>
      <xdr:colOff>716766</xdr:colOff>
      <xdr:row>92</xdr:row>
      <xdr:rowOff>62371</xdr:rowOff>
    </xdr:from>
    <xdr:ext cx="2173928" cy="3493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C632199E-FE2A-4A29-B348-37888B1400B4}"/>
                </a:ext>
              </a:extLst>
            </xdr:cNvPr>
            <xdr:cNvSpPr txBox="1"/>
          </xdr:nvSpPr>
          <xdr:spPr>
            <a:xfrm>
              <a:off x="716766" y="18088434"/>
              <a:ext cx="2173928" cy="349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1" i="1"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it-IT" sz="2000" b="1" i="1">
                            <a:latin typeface="Cambria Math" panose="02040503050406030204" pitchFamily="18" charset="0"/>
                          </a:rPr>
                          <m:t>𝒃𝒆𝒄</m:t>
                        </m:r>
                      </m:sub>
                    </m:sSub>
                    <m:r>
                      <a:rPr lang="it-IT" sz="2000" b="1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it-IT" sz="20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2000" b="1" i="1"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it-IT" sz="20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it-IT" sz="2000" b="1" i="1">
                            <a:latin typeface="Cambria Math" panose="02040503050406030204" pitchFamily="18" charset="0"/>
                          </a:rPr>
                          <m:t>°</m:t>
                        </m:r>
                      </m:sup>
                    </m:sSubSup>
                    <m:r>
                      <a:rPr lang="it-IT" sz="20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𝒎</m:t>
                        </m:r>
                      </m:sub>
                    </m:sSub>
                    <m:r>
                      <a:rPr lang="it-IT" sz="20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𝒑</m:t>
                        </m:r>
                      </m:sub>
                    </m:sSub>
                  </m:oMath>
                </m:oMathPara>
              </a14:m>
              <a:endParaRPr lang="it-IT" sz="2000" b="1"/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C632199E-FE2A-4A29-B348-37888B1400B4}"/>
                </a:ext>
              </a:extLst>
            </xdr:cNvPr>
            <xdr:cNvSpPr txBox="1"/>
          </xdr:nvSpPr>
          <xdr:spPr>
            <a:xfrm>
              <a:off x="716766" y="18088434"/>
              <a:ext cx="2173928" cy="349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2000" b="1" i="0">
                  <a:latin typeface="Cambria Math" panose="02040503050406030204" pitchFamily="18" charset="0"/>
                </a:rPr>
                <a:t>𝑪_𝒃𝒆𝒄=𝑪_𝒑^°</a:t>
              </a:r>
              <a:r>
                <a:rPr lang="it-IT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∙𝑭_𝒎∙𝑭_𝒑</a:t>
              </a:r>
              <a:endParaRPr lang="it-IT" sz="2000" b="1"/>
            </a:p>
          </xdr:txBody>
        </xdr:sp>
      </mc:Fallback>
    </mc:AlternateContent>
    <xdr:clientData/>
  </xdr:oneCellAnchor>
  <xdr:oneCellAnchor>
    <xdr:from>
      <xdr:col>7</xdr:col>
      <xdr:colOff>110858</xdr:colOff>
      <xdr:row>204</xdr:row>
      <xdr:rowOff>131244</xdr:rowOff>
    </xdr:from>
    <xdr:ext cx="2450479" cy="4708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F88B66B9-4D15-4538-BBB4-D6EE661A70F4}"/>
                </a:ext>
              </a:extLst>
            </xdr:cNvPr>
            <xdr:cNvSpPr txBox="1"/>
          </xdr:nvSpPr>
          <xdr:spPr>
            <a:xfrm>
              <a:off x="5992259" y="39700160"/>
              <a:ext cx="2450479" cy="470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𝐷</m:t>
                            </m:r>
                          </m:num>
                          <m:den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850−0.6∙</m:t>
                                </m:r>
                                <m:d>
                                  <m:d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𝑃</m:t>
                                    </m:r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+1</m:t>
                                    </m:r>
                                  </m:e>
                                </m:d>
                              </m:e>
                            </m:d>
                          </m:den>
                        </m:f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+0.00315</m:t>
                        </m:r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0.0063</m:t>
                        </m:r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F88B66B9-4D15-4538-BBB4-D6EE661A70F4}"/>
                </a:ext>
              </a:extLst>
            </xdr:cNvPr>
            <xdr:cNvSpPr txBox="1"/>
          </xdr:nvSpPr>
          <xdr:spPr>
            <a:xfrm>
              <a:off x="5992259" y="39700160"/>
              <a:ext cx="2450479" cy="470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𝐹_𝑃=(((𝑃+1)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∙𝐷)/(</a:t>
              </a:r>
              <a:r>
                <a:rPr lang="it-IT" sz="1100" b="0" i="0">
                  <a:latin typeface="Cambria Math" panose="02040503050406030204" pitchFamily="18" charset="0"/>
                </a:rPr>
                <a:t>2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∙[850−0.6∙(𝑃+1)] )</a:t>
              </a:r>
              <a:r>
                <a:rPr lang="it-IT" sz="1100" b="0" i="0">
                  <a:latin typeface="Cambria Math" panose="02040503050406030204" pitchFamily="18" charset="0"/>
                </a:rPr>
                <a:t>+0.00315)/0.0063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703659</xdr:colOff>
      <xdr:row>94</xdr:row>
      <xdr:rowOff>125809</xdr:rowOff>
    </xdr:from>
    <xdr:ext cx="3218638" cy="3358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D2710636-DA70-4A79-9CD9-174543402465}"/>
                </a:ext>
              </a:extLst>
            </xdr:cNvPr>
            <xdr:cNvSpPr txBox="1"/>
          </xdr:nvSpPr>
          <xdr:spPr>
            <a:xfrm>
              <a:off x="703659" y="18509059"/>
              <a:ext cx="3218638" cy="335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1" i="1"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it-IT" sz="2000" b="1" i="1">
                            <a:latin typeface="Cambria Math" panose="02040503050406030204" pitchFamily="18" charset="0"/>
                          </a:rPr>
                          <m:t>𝒃𝒆𝒄</m:t>
                        </m:r>
                      </m:sub>
                    </m:sSub>
                    <m:r>
                      <a:rPr lang="it-IT" sz="20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1" i="1"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  <m:sub>
                        <m:r>
                          <a:rPr lang="it-IT" sz="20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</m:sSub>
                    <m:r>
                      <a:rPr lang="it-IT" sz="2000" b="1" i="1">
                        <a:latin typeface="Cambria Math" panose="02040503050406030204" pitchFamily="18" charset="0"/>
                      </a:rPr>
                      <m:t>°</m:t>
                    </m:r>
                    <m:r>
                      <a:rPr lang="it-IT" sz="20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∙(</m:t>
                    </m:r>
                    <m:sSub>
                      <m:sSubPr>
                        <m:ctrlP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𝑩</m:t>
                        </m:r>
                      </m:e>
                      <m:sub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it-IT" sz="20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𝑩</m:t>
                        </m:r>
                      </m:e>
                      <m:sub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sSub>
                      <m:sSubPr>
                        <m:ctrlP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𝒎</m:t>
                        </m:r>
                      </m:sub>
                    </m:sSub>
                    <m:sSub>
                      <m:sSubPr>
                        <m:ctrlP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it-IT" sz="2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𝒑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it-IT" sz="20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D2710636-DA70-4A79-9CD9-174543402465}"/>
                </a:ext>
              </a:extLst>
            </xdr:cNvPr>
            <xdr:cNvSpPr txBox="1"/>
          </xdr:nvSpPr>
          <xdr:spPr>
            <a:xfrm>
              <a:off x="703659" y="18509059"/>
              <a:ext cx="3218638" cy="335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2000" b="1" i="0">
                  <a:latin typeface="Cambria Math" panose="02040503050406030204" pitchFamily="18" charset="0"/>
                </a:rPr>
                <a:t>𝑪_𝒃𝒆𝒄=𝑪_𝒑°</a:t>
              </a:r>
              <a:r>
                <a:rPr lang="it-IT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∙(𝑩_𝟏+𝑩_𝟐 𝑭_𝒎 𝑭_𝒑</a:t>
              </a:r>
              <a:r>
                <a:rPr lang="it-I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it-IT" sz="2000"/>
            </a:p>
          </xdr:txBody>
        </xdr:sp>
      </mc:Fallback>
    </mc:AlternateContent>
    <xdr:clientData/>
  </xdr:oneCellAnchor>
  <xdr:oneCellAnchor>
    <xdr:from>
      <xdr:col>7</xdr:col>
      <xdr:colOff>166687</xdr:colOff>
      <xdr:row>240</xdr:row>
      <xdr:rowOff>107157</xdr:rowOff>
    </xdr:from>
    <xdr:ext cx="2450479" cy="4708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32DF1823-4155-408D-83CD-98F249CF543B}"/>
                </a:ext>
              </a:extLst>
            </xdr:cNvPr>
            <xdr:cNvSpPr txBox="1"/>
          </xdr:nvSpPr>
          <xdr:spPr>
            <a:xfrm>
              <a:off x="6048375" y="45767626"/>
              <a:ext cx="2450479" cy="470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𝐷</m:t>
                            </m:r>
                          </m:num>
                          <m:den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850−0.6∙</m:t>
                                </m:r>
                                <m:d>
                                  <m:d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𝑃</m:t>
                                    </m:r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+1</m:t>
                                    </m:r>
                                  </m:e>
                                </m:d>
                              </m:e>
                            </m:d>
                          </m:den>
                        </m:f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+0.00315</m:t>
                        </m:r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0.0063</m:t>
                        </m:r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32DF1823-4155-408D-83CD-98F249CF543B}"/>
                </a:ext>
              </a:extLst>
            </xdr:cNvPr>
            <xdr:cNvSpPr txBox="1"/>
          </xdr:nvSpPr>
          <xdr:spPr>
            <a:xfrm>
              <a:off x="6048375" y="45767626"/>
              <a:ext cx="2450479" cy="470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𝐹_𝑃=(((𝑃+1)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∙𝐷)/(</a:t>
              </a:r>
              <a:r>
                <a:rPr lang="it-IT" sz="1100" b="0" i="0">
                  <a:latin typeface="Cambria Math" panose="02040503050406030204" pitchFamily="18" charset="0"/>
                </a:rPr>
                <a:t>2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∙[850−0.6∙(𝑃+1)] )</a:t>
              </a:r>
              <a:r>
                <a:rPr lang="it-IT" sz="1100" b="0" i="0">
                  <a:latin typeface="Cambria Math" panose="02040503050406030204" pitchFamily="18" charset="0"/>
                </a:rPr>
                <a:t>+0.00315)/0.0063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25</xdr:col>
      <xdr:colOff>150018</xdr:colOff>
      <xdr:row>104</xdr:row>
      <xdr:rowOff>114300</xdr:rowOff>
    </xdr:from>
    <xdr:ext cx="2442399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71C8C8DE-8354-4FFE-BD7D-577AD1A26F82}"/>
                </a:ext>
              </a:extLst>
            </xdr:cNvPr>
            <xdr:cNvSpPr txBox="1"/>
          </xdr:nvSpPr>
          <xdr:spPr>
            <a:xfrm>
              <a:off x="18874581" y="20608925"/>
              <a:ext cx="244239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𝑏𝑒𝑐</m:t>
                        </m:r>
                      </m:sub>
                    </m:sSub>
                    <m:d>
                      <m:d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𝑝𝑟𝑒𝑠𝑒𝑛𝑡</m:t>
                        </m:r>
                      </m:e>
                    </m:d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𝑏𝑒𝑐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𝑝𝑎𝑠𝑡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)∙</m:t>
                    </m:r>
                    <m:d>
                      <m:dPr>
                        <m:ctrlP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𝑝𝑟𝑒𝑠𝑒𝑛𝑡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𝑝𝑎𝑠𝑡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71C8C8DE-8354-4FFE-BD7D-577AD1A26F82}"/>
                </a:ext>
              </a:extLst>
            </xdr:cNvPr>
            <xdr:cNvSpPr txBox="1"/>
          </xdr:nvSpPr>
          <xdr:spPr>
            <a:xfrm>
              <a:off x="18874581" y="20608925"/>
              <a:ext cx="244239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𝐶_𝑏𝑒𝑐 (𝑝𝑟𝑒𝑠𝑒𝑛𝑡)=𝐶_𝑏𝑒𝑐 (𝑝𝑎𝑠𝑡)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∙(𝐼_𝑝𝑟𝑒𝑠𝑒𝑛𝑡/𝐼_𝑝𝑎𝑠𝑡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267</xdr:row>
      <xdr:rowOff>8731</xdr:rowOff>
    </xdr:from>
    <xdr:ext cx="734625" cy="436786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B9C571FF-C3AE-44EC-A8A9-D40702AFBB78}"/>
            </a:ext>
          </a:extLst>
        </xdr:cNvPr>
        <xdr:cNvSpPr txBox="1"/>
      </xdr:nvSpPr>
      <xdr:spPr>
        <a:xfrm>
          <a:off x="190500" y="11239500"/>
          <a:ext cx="7346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>
              <a:solidFill>
                <a:srgbClr val="FF0000"/>
              </a:solidFill>
            </a:rPr>
            <a:t>Incidence</a:t>
          </a:r>
        </a:p>
        <a:p>
          <a:r>
            <a:rPr lang="it-IT" sz="1100">
              <a:solidFill>
                <a:srgbClr val="FF0000"/>
              </a:solidFill>
            </a:rPr>
            <a:t>Matrix A</a:t>
          </a:r>
        </a:p>
      </xdr:txBody>
    </xdr:sp>
    <xdr:clientData/>
  </xdr:oneCellAnchor>
  <xdr:oneCellAnchor>
    <xdr:from>
      <xdr:col>0</xdr:col>
      <xdr:colOff>166687</xdr:colOff>
      <xdr:row>272</xdr:row>
      <xdr:rowOff>151606</xdr:rowOff>
    </xdr:from>
    <xdr:ext cx="753989" cy="436786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06E19BB7-B289-4F43-9E75-57BF09047FD4}"/>
            </a:ext>
          </a:extLst>
        </xdr:cNvPr>
        <xdr:cNvSpPr txBox="1"/>
      </xdr:nvSpPr>
      <xdr:spPr>
        <a:xfrm>
          <a:off x="163512" y="12331700"/>
          <a:ext cx="7539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>
              <a:solidFill>
                <a:srgbClr val="00B0F0"/>
              </a:solidFill>
            </a:rPr>
            <a:t>P1, P2 </a:t>
          </a:r>
        </a:p>
        <a:p>
          <a:r>
            <a:rPr lang="it-IT" sz="1100">
              <a:solidFill>
                <a:srgbClr val="00B0F0"/>
              </a:solidFill>
            </a:rPr>
            <a:t>equations</a:t>
          </a:r>
        </a:p>
      </xdr:txBody>
    </xdr:sp>
    <xdr:clientData/>
  </xdr:oneCellAnchor>
  <xdr:oneCellAnchor>
    <xdr:from>
      <xdr:col>0</xdr:col>
      <xdr:colOff>181769</xdr:colOff>
      <xdr:row>279</xdr:row>
      <xdr:rowOff>65285</xdr:rowOff>
    </xdr:from>
    <xdr:ext cx="753989" cy="436786"/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2FB1E89E-EA39-4868-A4F7-4D66EA559029}"/>
            </a:ext>
          </a:extLst>
        </xdr:cNvPr>
        <xdr:cNvSpPr txBox="1"/>
      </xdr:nvSpPr>
      <xdr:spPr>
        <a:xfrm>
          <a:off x="178594" y="13582054"/>
          <a:ext cx="7539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>
              <a:solidFill>
                <a:srgbClr val="00B050"/>
              </a:solidFill>
            </a:rPr>
            <a:t>P3,P4</a:t>
          </a:r>
        </a:p>
        <a:p>
          <a:r>
            <a:rPr lang="it-IT" sz="1100">
              <a:solidFill>
                <a:srgbClr val="00B050"/>
              </a:solidFill>
            </a:rPr>
            <a:t>equations</a:t>
          </a:r>
        </a:p>
      </xdr:txBody>
    </xdr:sp>
    <xdr:clientData/>
  </xdr:oneCellAnchor>
  <xdr:oneCellAnchor>
    <xdr:from>
      <xdr:col>25</xdr:col>
      <xdr:colOff>202406</xdr:colOff>
      <xdr:row>267</xdr:row>
      <xdr:rowOff>65087</xdr:rowOff>
    </xdr:from>
    <xdr:ext cx="5844229" cy="5496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2D6BC23A-B7D6-4C89-8817-D2817D20B6EC}"/>
                </a:ext>
              </a:extLst>
            </xdr:cNvPr>
            <xdr:cNvSpPr txBox="1"/>
          </xdr:nvSpPr>
          <xdr:spPr>
            <a:xfrm>
              <a:off x="19478625" y="51250056"/>
              <a:ext cx="5844229" cy="549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it-IT" sz="2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2800" b="1" i="1">
                            <a:latin typeface="Cambria Math" panose="02040503050406030204" pitchFamily="18" charset="0"/>
                          </a:rPr>
                          <m:t>𝑨𝒄</m:t>
                        </m:r>
                      </m:e>
                    </m:d>
                    <m:r>
                      <a:rPr lang="it-IT" sz="28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it-IT" sz="2800" b="1" i="1">
                        <a:latin typeface="Cambria Math" panose="02040503050406030204" pitchFamily="18" charset="0"/>
                      </a:rPr>
                      <m:t>𝑪</m:t>
                    </m:r>
                    <m:r>
                      <a:rPr lang="it-IT" sz="28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2800" b="1" i="1">
                        <a:latin typeface="Cambria Math" panose="02040503050406030204" pitchFamily="18" charset="0"/>
                      </a:rPr>
                      <m:t>𝒁𝒆</m:t>
                    </m:r>
                    <m:r>
                      <a:rPr lang="it-IT" sz="2800" b="1" i="1">
                        <a:latin typeface="Cambria Math" panose="02040503050406030204" pitchFamily="18" charset="0"/>
                      </a:rPr>
                      <m:t>   →   </m:t>
                    </m:r>
                    <m:r>
                      <a:rPr lang="it-IT" sz="2800" b="1" i="1">
                        <a:latin typeface="Cambria Math" panose="02040503050406030204" pitchFamily="18" charset="0"/>
                      </a:rPr>
                      <m:t>𝑪</m:t>
                    </m:r>
                    <m:r>
                      <a:rPr lang="it-IT" sz="2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2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it-IT" sz="2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2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𝑨𝒄</m:t>
                            </m:r>
                          </m:e>
                        </m:d>
                      </m:e>
                      <m:sup>
                        <m:r>
                          <a:rPr lang="it-IT" sz="2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it-IT" sz="2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sup>
                    </m:sSup>
                    <m:r>
                      <a:rPr lang="it-IT" sz="2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it-IT" sz="2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𝒁𝒆</m:t>
                    </m:r>
                  </m:oMath>
                </m:oMathPara>
              </a14:m>
              <a:endParaRPr lang="it-IT" sz="2800" b="1"/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2D6BC23A-B7D6-4C89-8817-D2817D20B6EC}"/>
                </a:ext>
              </a:extLst>
            </xdr:cNvPr>
            <xdr:cNvSpPr txBox="1"/>
          </xdr:nvSpPr>
          <xdr:spPr>
            <a:xfrm>
              <a:off x="19478625" y="51250056"/>
              <a:ext cx="5844229" cy="5496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:r>
                <a:rPr lang="it-IT" sz="2800" b="1" i="0">
                  <a:latin typeface="Cambria Math" panose="02040503050406030204" pitchFamily="18" charset="0"/>
                </a:rPr>
                <a:t>[𝑨𝒄]∗𝑪=𝒁𝒆   →   𝑪</a:t>
              </a:r>
              <a:r>
                <a:rPr lang="it-IT" sz="2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=[𝑨𝒄]^(−𝟏)∗𝒁𝒆</a:t>
              </a:r>
              <a:endParaRPr lang="it-IT" sz="2800" b="1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110747</xdr:colOff>
      <xdr:row>18</xdr:row>
      <xdr:rowOff>123015</xdr:rowOff>
    </xdr:from>
    <xdr:to>
      <xdr:col>11</xdr:col>
      <xdr:colOff>408597</xdr:colOff>
      <xdr:row>29</xdr:row>
      <xdr:rowOff>161936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put penna 1">
              <a:extLst>
                <a:ext uri="{FF2B5EF4-FFF2-40B4-BE49-F238E27FC236}">
                  <a16:creationId xmlns:a16="http://schemas.microsoft.com/office/drawing/2014/main" id="{775DC43A-F8E2-4DDF-8257-CAB44FAF2D7B}"/>
                </a:ext>
              </a:extLst>
            </xdr14:cNvPr>
            <xdr14:cNvContentPartPr/>
          </xdr14:nvContentPartPr>
          <xdr14:nvPr macro=""/>
          <xdr14:xfrm>
            <a:off x="14241365" y="3406339"/>
            <a:ext cx="304200" cy="2044773"/>
          </xdr14:xfrm>
        </xdr:contentPart>
      </mc:Choice>
      <mc:Fallback xmlns="">
        <xdr:pic>
          <xdr:nvPicPr>
            <xdr:cNvPr id="2" name="Input penna 1">
              <a:extLst>
                <a:ext uri="{FF2B5EF4-FFF2-40B4-BE49-F238E27FC236}">
                  <a16:creationId xmlns:a16="http://schemas.microsoft.com/office/drawing/2014/main" id="{775DC43A-F8E2-4DDF-8257-CAB44FAF2D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761560" y="3422217"/>
              <a:ext cx="321840" cy="2085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669910</xdr:colOff>
      <xdr:row>19</xdr:row>
      <xdr:rowOff>140864</xdr:rowOff>
    </xdr:from>
    <xdr:to>
      <xdr:col>13</xdr:col>
      <xdr:colOff>162699</xdr:colOff>
      <xdr:row>22</xdr:row>
      <xdr:rowOff>159813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5" name="Input penna 24">
              <a:extLst>
                <a:ext uri="{FF2B5EF4-FFF2-40B4-BE49-F238E27FC236}">
                  <a16:creationId xmlns:a16="http://schemas.microsoft.com/office/drawing/2014/main" id="{CA7E6B1D-A2D7-44E9-B7FB-2766AF872457}"/>
                </a:ext>
              </a:extLst>
            </xdr14:cNvPr>
            <xdr14:cNvContentPartPr/>
          </xdr14:nvContentPartPr>
          <xdr14:nvPr macro=""/>
          <xdr14:xfrm>
            <a:off x="14800528" y="3614688"/>
            <a:ext cx="1469880" cy="563181"/>
          </xdr14:xfrm>
        </xdr:contentPart>
      </mc:Choice>
      <mc:Fallback xmlns="">
        <xdr:pic>
          <xdr:nvPicPr>
            <xdr:cNvPr id="25" name="Input penna 24">
              <a:extLst>
                <a:ext uri="{FF2B5EF4-FFF2-40B4-BE49-F238E27FC236}">
                  <a16:creationId xmlns:a16="http://schemas.microsoft.com/office/drawing/2014/main" id="{CA7E6B1D-A2D7-44E9-B7FB-2766AF87245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389760" y="3653081"/>
              <a:ext cx="1487520" cy="5895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483232</xdr:colOff>
      <xdr:row>23</xdr:row>
      <xdr:rowOff>145249</xdr:rowOff>
    </xdr:from>
    <xdr:to>
      <xdr:col>13</xdr:col>
      <xdr:colOff>389908</xdr:colOff>
      <xdr:row>25</xdr:row>
      <xdr:rowOff>66562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5" name="Input penna 44">
              <a:extLst>
                <a:ext uri="{FF2B5EF4-FFF2-40B4-BE49-F238E27FC236}">
                  <a16:creationId xmlns:a16="http://schemas.microsoft.com/office/drawing/2014/main" id="{87225E76-79B4-4A83-90B5-58380FCDBFDF}"/>
                </a:ext>
              </a:extLst>
            </xdr14:cNvPr>
            <xdr14:cNvContentPartPr/>
          </xdr14:nvContentPartPr>
          <xdr14:nvPr macro=""/>
          <xdr14:xfrm>
            <a:off x="14613850" y="4347455"/>
            <a:ext cx="1896467" cy="279901"/>
          </xdr14:xfrm>
        </xdr:contentPart>
      </mc:Choice>
      <mc:Fallback xmlns="">
        <xdr:pic>
          <xdr:nvPicPr>
            <xdr:cNvPr id="45" name="Input penna 44">
              <a:extLst>
                <a:ext uri="{FF2B5EF4-FFF2-40B4-BE49-F238E27FC236}">
                  <a16:creationId xmlns:a16="http://schemas.microsoft.com/office/drawing/2014/main" id="{87225E76-79B4-4A83-90B5-58380FCDBF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427210" y="4369966"/>
              <a:ext cx="1913020" cy="30711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53181</xdr:colOff>
      <xdr:row>1</xdr:row>
      <xdr:rowOff>103187</xdr:rowOff>
    </xdr:from>
    <xdr:ext cx="2329938" cy="455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7EB7BED2-EBD5-4993-92A2-9A17EEEC5E0E}"/>
                </a:ext>
              </a:extLst>
            </xdr:cNvPr>
            <xdr:cNvSpPr txBox="1"/>
          </xdr:nvSpPr>
          <xdr:spPr>
            <a:xfrm>
              <a:off x="53181" y="439363"/>
              <a:ext cx="2329938" cy="45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+3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−→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1 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𝑚𝑜𝑙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𝐶𝐻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4−→1  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𝑚𝑜𝑙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𝐶𝑂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7EB7BED2-EBD5-4993-92A2-9A17EEEC5E0E}"/>
                </a:ext>
              </a:extLst>
            </xdr:cNvPr>
            <xdr:cNvSpPr txBox="1"/>
          </xdr:nvSpPr>
          <xdr:spPr>
            <a:xfrm>
              <a:off x="53181" y="439363"/>
              <a:ext cx="2329938" cy="45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𝐶𝐻_4+3𝑂_2−→𝐶𝑂_2+2𝐻_2 𝑂</a:t>
              </a:r>
              <a:br>
                <a:rPr lang="it-IT" sz="1100" b="0"/>
              </a:br>
              <a:r>
                <a:rPr lang="it-IT" sz="1100" b="0" i="0">
                  <a:latin typeface="Cambria Math" panose="02040503050406030204" pitchFamily="18" charset="0"/>
                </a:rPr>
                <a:t>1 𝑚𝑜𝑙 𝑜𝑓 𝐶𝐻4−→1  𝑚𝑜𝑙 𝑜𝑓 𝐶𝑂2</a:t>
              </a:r>
              <a:endParaRPr lang="it-IT" sz="1100"/>
            </a:p>
          </xdr:txBody>
        </xdr:sp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4:57.48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9:07.53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9:11.03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9:12.7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  <inkml:trace contextRef="#ctx0" brushRef="#br0" timeOffset="347.6">0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9:16.98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9:25.97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9:35.82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9:46.38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9:48.2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359.15">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0:07.99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0:10.36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2:54.18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2:55.13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3:54.46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3:54.79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3:55.1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3:55.54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3:55.87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  <inkml:trace contextRef="#ctx0" brushRef="#br0" timeOffset="1">0 0,'0'0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3:56.21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20T11:06:15.756"/>
    </inkml:context>
    <inkml:brush xml:id="br0">
      <inkml:brushProperty name="width" value="0.35" units="cm"/>
      <inkml:brushProperty name="height" value="0.35" units="cm"/>
      <inkml:brushProperty name="color" value="#FFFFFF"/>
      <inkml:brushProperty name="ignorePressure" value="1"/>
    </inkml:brush>
  </inkml:definitions>
  <inkml:trace contextRef="#ctx0" brushRef="#br0">147 0,'-6'1,"0"0,0 0,1 1,-1 0,0 0,0 1,1-1,-7 5,-23 9,31-14,-1 0,1-1,-1 1,1 1,-1-1,1 1,0 0,0 0,-5 5,9-7,-1-1,1 1,-1-1,1 1,-1 0,1-1,0 1,-1 0,1 0,0-1,-1 1,1 0,0 0,0-1,0 1,0 0,0 0,0 0,0-1,0 1,0 0,0 0,1 1,0-1,0 1,0-1,0 0,0 1,0-1,1 0,-1 0,0 0,1 0,-1 0,1 0,-1 0,1-1,-1 1,4 1,62 16,-49-14,-1 1,0 1,19 8,-30-11,0 0,-1 0,0 1,0 0,0 0,0 0,0 0,-1 1,0 0,0 0,0 0,5 11,-7-12,0-1,1 1,-1-1,0 0,1 0,0 0,4 4,2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20T11:06:19.420"/>
    </inkml:context>
    <inkml:brush xml:id="br0">
      <inkml:brushProperty name="width" value="0.35" units="cm"/>
      <inkml:brushProperty name="height" value="0.35" units="cm"/>
      <inkml:brushProperty name="color" value="#FFFFFF"/>
      <inkml:brushProperty name="ignorePressure" value="1"/>
    </inkml:brush>
  </inkml:definitions>
  <inkml:trace contextRef="#ctx0" brushRef="#br0">1 1,'7'0,"0"0,0 0,0 0,0 0,0 1,0 1,9 1,-14-2,0 0,0 0,0 1,0-1,0 0,0 1,0-1,-1 1,1-1,-1 1,1 0,-1 0,0 0,1 0,-1 0,0 0,0 0,-1 0,1 0,0 0,-1 1,1-1,0 4,6 98,-4-30,-2-69,1-1,0 1,0 0,0-1,1 0,-1 1,1-1,0 0,0 0,0-1,1 1,-1-1,1 1,5 2,-3-1,0 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20T11:06:21.738"/>
    </inkml:context>
    <inkml:brush xml:id="br0">
      <inkml:brushProperty name="width" value="0.35" units="cm"/>
      <inkml:brushProperty name="height" value="0.35" units="cm"/>
      <inkml:brushProperty name="color" value="#FFFFFF"/>
      <inkml:brushProperty name="ignorePressure" value="1"/>
    </inkml:brush>
  </inkml:definitions>
  <inkml:trace contextRef="#ctx0" brushRef="#br0">1 0,'6'5,"0"0,0 0,0 1,-1 0,0 0,0 0,-1 0,1 1,3 7,18 25,-19-31,0 0,0 0,-1 0,-1 1,1 0,-1 0,-1 1,0-1,0 1,-1 0,0 0,-1 0,0 1,0-1,-1 1,-1 19,0-27,0 0,0 0,0 0,0 0,1 0,-1 0,1 0,0 0,0 0,0 0,0 0,3 4,1-1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20T11:06:23.869"/>
    </inkml:context>
    <inkml:brush xml:id="br0">
      <inkml:brushProperty name="width" value="0.35" units="cm"/>
      <inkml:brushProperty name="height" value="0.35" units="cm"/>
      <inkml:brushProperty name="color" value="#FFFFFF"/>
      <inkml:brushProperty name="ignorePressure" value="1"/>
    </inkml:brush>
  </inkml:definitions>
  <inkml:trace contextRef="#ctx0" brushRef="#br0">18 0,'-3'3,"1"0,1 0,-1 0,0 0,1 1,0-1,-1 0,1 1,1-1,-1 1,0-1,1 1,0-1,0 1,0 0,0-1,0 1,1-1,0 5,0-2,1-1,0 1,-1 0,2-1,-1 1,0-1,1 1,0-1,1 0,5 7,7 5,-1 0,-1 1,-1 0,-1 2,0-1,16 38,-24-48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20T11:06:30.516"/>
    </inkml:context>
    <inkml:brush xml:id="br0">
      <inkml:brushProperty name="width" value="0.35" units="cm"/>
      <inkml:brushProperty name="height" value="0.35" units="cm"/>
      <inkml:brushProperty name="color" value="#FFFFFF"/>
      <inkml:brushProperty name="ignorePressure" value="1"/>
    </inkml:brush>
  </inkml:definitions>
  <inkml:trace contextRef="#ctx0" brushRef="#br0">1 135,'0'0,"1"1,-1 0,1 0,0 0,-1 0,1 0,0-1,-1 1,1 0,0 0,0-1,0 1,0-1,0 1,-1-1,1 1,0-1,0 0,0 1,0-1,0 0,0 0,1 0,-1 1,0-1,0 0,0-1,0 1,0 0,2-1,34-3,-33 3,0-1,1 0,-1 1,0-2,0 1,0 0,0-1,-1 0,1 0,-1 0,1 0,-1 0,0-1,4-5,-2 0,-1 0,0 0,0-1,-1 1,4-15,-7 23,0-1,0 1,1 0,-1-1,1 1,-1 0,1-1,0 1,0 0,-1 0,1-1,0 1,0 0,0 0,0 0,0 0,0 0,0 0,3-1,6-2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20T11:06:34.963"/>
    </inkml:context>
    <inkml:brush xml:id="br0">
      <inkml:brushProperty name="width" value="0.35" units="cm"/>
      <inkml:brushProperty name="height" value="0.35" units="cm"/>
      <inkml:brushProperty name="color" value="#FFFFFF"/>
      <inkml:brushProperty name="ignorePressure" value="1"/>
    </inkml:brush>
  </inkml:definitions>
  <inkml:trace contextRef="#ctx0" brushRef="#br0">1 1,'4'2,"0"0,0 1,0 0,0 0,-1 0,1 1,-1-1,5 8,4 1,-6-6,0 0,0 0,-1 0,1 1,-1 0,-1 0,0 0,0 0,0 1,-1-1,3 10,-1 3,-2-1,0 1,-1 28,-2-42,1 1,0 0,0-1,0 1,1 0,0-1,5 10,-7-13,1-1,0 0,0 0,0 0,1 0,-1-1,0 1,1 0,-1 0,1-1,0 1,0-1,-1 1,1-1,0 0,0 0,0 0,0 0,0 0,1 0,-1 0,4 0,-5-1,1-1,0 1,-1-1,1 1,0-1,-1 0,1 0,-1 0,1 0,-1 0,0 0,1 0,-1 0,0 0,0-1,0 1,0-1,0 1,0 0,0-1,0 0,0 1,-1-1,1 1,-1-1,1 0,-1 0,0 1,1-4,5-53,-7 32,0 20,0 0,1 0,-1 1,2-1,-1 0,1 0,-1 0,2 1,2-11,3 53,-9-24,-1-1,0 1,0 0,-2-1,1 1,-2-1,0-1,-12 19,-2 6,15-25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0T11:08:09.0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30 220 1944,'-7'8'382,"5"-7"-221,1 1-1,-1-1 0,1 0 0,-1 1 1,1-1-1,-1 0 0,0 0 0,-7 0 7766,9 0-7777,10-12 1361,13-10-1914,-14 12 614,-1 0 0,0 0-1,0-1 1,-1 0 0,0 0-1,-1-1 1,0 0 0,5-15-1,5-25 865,-15 51-1066,-1 0-1,0-1 1,1 1-1,-1 0 1,1 0-1,-1 0 1,0 0-1,1 0 1,-1 0-1,1 0 1,-1 0-1,0 0 1,1 0-1,-1 0 1,1 0 0,-1 0-1,0 0 1,1 0-1,-1 0 1,1 0-1,-1 0 1,0 0-1,1 1 1,-1-1-1,0 0 1,1 0-1,-1 1 1,0-1-1,1 0 1,-1 1-1,11 8 47,0 11-8,-9-17-40,0 1-1,0-1 1,0 1-1,-1-1 1,0 1-1,0 0 1,0 0-1,0-1 1,0 5-1,1 3-5,0 0 0,1-1 0,5 14 0,-5-17-2,-1 1 1,1 0-1,-1 0 0,-1 0 1,1 0-1,-2 0 0,1 11 1,-1-15-6,0 0 0,1 1-1,-1-1 1,1 0 0,0-1 0,2 7 0,-2-7 4,0 0 0,0 1 0,0-1-1,-1 0 1,1 0 0,-1 1 0,0-1 0,0 1-1,0-1 1,0 0 0,-1 6 0,0-7-225,0 1 0,0 0 1,1 0-1,0 0 1,-1 0-1,1 0 0,0 0 1,1-1-1,0 6 0</inkml:trace>
  <inkml:trace contextRef="#ctx0" brushRef="#br0" timeOffset="1298.58">301 65 2721,'-3'-2'7834,"5"-5"-5225,10-6-3018,-6 9 490,44-24 640,-48 26-699,1 1 0,0 0-1,0 0 1,0 0-1,0 0 1,-1 0-1,1 0 1,0 1 0,0-1-1,0 1 1,1 0-1,-1 0 1,0 0 0,0 0-1,0 1 1,4 0-1,-5 0-10,-1 0 0,1 0 0,-1 0 0,1 1 0,-1-1 1,0 0-1,0 0 0,1 1 0,-1-1 0,0 1 0,0-1 0,-1 1 0,1-1 0,0 1 0,0-1 0,-1 1 0,1 0 0,-1-1 0,1 1 0,-1 0 0,0 0 0,0-1 0,0 4 0,0-2 1,0-1-1,0 1 1,0 0-1,-1 0 1,1-1-1,-1 1 1,1 0-1,-1-1 1,0 1-1,0-1 1,-1 1-1,1-1 1,0 1-1,-3 1 1,-1 1 7,-1 0 0,1 0 0,-1-1 0,-9 5-1,8-5-19,0 0 0,1 0-1,-12 11 1,7-5 16,7-5-259,20-6 114,24-6 109,-30 4 22,1 0 0,0 2-1,0-1 1,-1 1 0,22 1-1,-30 0 3,1 0 0,-1 1 0,1 0 0,-1-1-1,1 1 1,-1 0 0,0 0 0,1 0 0,-1 0 0,0 1-1,0-1 1,0 1 0,0-1 0,0 1 0,0-1 0,-1 1-1,1 0 1,0 0 0,-1 0 0,0 0 0,1 0 0,-1 0-1,0 1 1,0-1 0,0 0 0,0 1 0,-1-1 0,1 0-1,-1 1 1,1 3 0,0-3 6,-1 0-1,0 0 1,1 0-1,-1 1 1,0-1 0,-1 0-1,1 0 1,0 0-1,-1 0 1,0 0 0,0 0-1,0-1 1,-2 7-1,-1-3 8,-1-1-1,1 1 1,-1-1-1,0 0 1,-6 5-1,0-1-1,0 0 0,0-1-1,-1 0 1,0-1-1,-15 7 1,7-2 181,14-4-770,6-8 494,0 0 0,0 1 0,0-1 0,0 0 0,0 0 0,1 1 0,-1-1 0,0 0 0,0 0 0,0 0 0,0 1 0,1-1 0,-1 0 0,0 0 0,0 0 0,0 0 0,1 1 1,-1-1-1,0 0 0,0 0 0,0 0 0,1 0 0,-1 0 0,0 0 0,0 0 0,1 1 0,-1-1 0,0 0 0,1 0 0,-1 0 0,0 0 0,0 0 0,1 0 0,-1-1 0,9 1-921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0T11:08:20.2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27 203 1696,'-1'2'276,"-11"13"405,12-15-536,-1 1-1,1-1 1,0 0 0,0 1-1,-1-1 1,1 1 0,0-1-1,-1 0 1,1 0 0,0 1-1,-1-1 1,1 0 0,-1 0-1,1 1 1,0-1 0,-1 0 0,1 0-1,-1 0 1,1 1 0,-1-1-1,1 0 1,-1 0 0,1 0-1,-1 0 1,1 0 0,0 0-1,-1 0 1,1 0 0,-1 0 0,1 0-1,-2-1 1,3-1 51,0 0-1,-1-1 1,1 1 0,0 0 0,0 0 0,0 0-1,1 0 1,-1 0 0,2-2 0,50-83 917,-51 82-948,0 0 0,0 0 1,0 0-1,0 0 0,-1 0 0,0 0 0,1-10 0,2-10 681,9 97-116,-10-34-706,-3 61 0,0-91-29,-1 1 0,1-1 0,1 0 0,-1 0 0,1 0 0,4 14 0,-5-21-3,1-1-1,-1 1 0,0-1 1,0 1-1,0-1 1,1 0-1,-1 1 1,0-1-1,1 1 1,-1-1-1,1 0 0,-1 1 1,0-1-1,1 0 1,-1 1-1,1-1 1,-1 0-1,1 0 1,-1 1-1,1-1 0,-1 0 1,1 0-1,-1 0 1,1 0-1,-1 0 1,1 0-1,-1 0 1,1 0-1,-1 0 0,1 0 1,-1 0-1,1 0 1,0 0-1,9-7-2946,-9 3 2091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0T11:08:31.8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49 20 328,'5'-19'11039,"-7"32"-10493,-2 4-512,-1 0-1,-7 18 0,-9 32-27,17-53-6,-1 17 1,5-30 2,1 0 0,-1-1-1,0 1 1,1-1 0,-1 1 0,1-1 0,-1 1-1,1-1 1,-1 1 0,1-1 0,-1 1 0,1-1-1,-1 0 1,1 1 0,0-1 0,-1 0 0,1 0 0,-1 1-1,1-1 1,0 0 0,-1 0 0,1 0 0,0 0-1,-1 0 1,1 0 0,0 0 0,-1 0 0,1 0-1,0 0 1,-1 0 0,1 0 0,0-1 0,1 1-1,28-9 119,-27 8-83,1-1 21,0-1 0,1 1 0,-1 0 0,1 0 1,-1 1-1,1-1 0,0 1 0,-1 0 0,8 0 0,-11 1-54,0 0-1,-1 1 0,1-1 0,0 1 0,-1-1 0,1 1 0,0-1 0,-1 1 0,1 0 0,0-1 0,-1 1 1,1 0-1,-1-1 0,0 1 0,1 0 0,-1 0 0,1-1 0,-1 1 0,0 0 0,0 0 0,1 0 0,-1 0 1,0 0-11,0 0 0,0 0 1,1 0-1,-1 0 0,0 0 1,1 0-1,-1-1 0,1 1 0,-1 0 1,1 0-1,-1 0 0,1-1 1,-1 1-1,1 0 0,0-1 1,0 1-1,0 0 0</inkml:trace>
  <inkml:trace contextRef="#ctx0" brushRef="#br0" timeOffset="802.87">100 100 1896,'-8'5'7038,"3"7"-4986,0 11-2378,5-22 790,-1 11-244,1-1 0,0 1 0,1-1 0,4 23 0,-2-23-225,-2-1 1,0 0-1,0 1 0,-1-1 1,-1 15-1,-1-19 54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0T11:08:40.83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9 170 1232,'-5'2'8104,"2"3"-4699,5-3-2665,10-7-631,-4 0-51,1-1 1,-1 0 0,-1 0 0,1-1-1,-1 0 1,0 0 0,0-1 0,-1 0-1,0 0 1,0 0 0,-1-1 0,0 0-1,-1 0 1,0 0 0,5-17 0,-8 7 304,-5 35 10,-11 134-396,7-70-17,6-67-2448</inkml:trace>
  <inkml:trace contextRef="#ctx0" brushRef="#br0" timeOffset="1526.84">330 8 1632,'26'-7'1433,"-45"10"6659,-4-3-5945,12 0-1922,1 1 0,-1 0-1,-11 3 1,2 3 143,20-6-354,-1-1-1,0 1 1,1-1 0,0 1-1,-1 0 1,1-1-1,-1 1 1,1 0 0,0 0-1,-1-1 1,1 1-1,0 0 1,0 0 0,0-1-1,-1 1 1,1 0-1,0 0 1,0-1 0,1 3-1,3 36-36,-2-32 18,-1-1 0,0 0 0,-1 1 0,0-1 0,0 1 0,0-1 0,-1 7 0,0-10 7,1 0-1,0 0 0,0 1 0,1-1 0,-1 0 0,1 0 1,0 3-1,2 17 4,-3-23-6,0 0 0,0 0 0,0 0 1,0-1-1,0 1 0,0 0 0,-1 0 0,1 0 0,0 0 0,0 0 0,0 0 0,0 0 1,0 0-1,0 0 0,0 0 0,0 0 0,0-1 0,0 1 0,0 0 0,0 0 0,-1 0 1,1 0-1,0 0 0,0 0 0,0 0 0,0 0 0,0 0 0,0 0 0,0 0 0,0 0 1,0 0-1,-1 0 0,1 0 0,0 0 0,0 0 0,0 0 0,0 0 0,0 0 1,0 0-1,0 0 0,0 0 0,-1 0 0,1 0 0,0 1 0,2-5 5,1 0-1,-1 0 0,1 1 1,-1-1-1,1 1 1,0 0-1,0 0 1,0 0-1,1 0 0,-1 1 1,1-1-1,0 1 1,0 0-1,-1 0 0,6-2 1,-6 4-2,-1-1-1,0 0 1,1 1 0,-1 0 0,0-1-1,1 1 1,-1 0 0,0 0 0,1 1-1,-1-1 1,0 0 0,1 1 0,-1-1-1,0 1 1,1 0 0,-1 0 0,0 0-1,0 0 1,0 0 0,0 0 0,0 1-1,0-1 1,0 1 0,0-1 0,-1 1-1,1 0 1,0-1 0,-1 1 0,0 0-1,1 0 1,0 3 0,0-2-4,0 0 0,0 1 0,-1-1 1,1 1-1,-1-1 0,0 1 0,0 0 0,0-1 0,0 1 1,-1 0-1,0 0 0,0-1 0,0 1 0,0 0 0,-1 5 1,0-6 0,0 0 0,0-1-1,0 1 1,0-1 0,0 1 0,0-1 0,-1 1 0,1-1 0,-1 0 0,0 0 0,0 0 0,0 0 0,0 0 0,0 0 0,0 0 0,0-1 0,0 1 0,-1-1 0,1 0 0,-1 1 0,1-1 0,-5 1-1,-58 14 252,26-4 127,36-10-679,-1 0 0,1-1 0,-1 0 0,0 0 0,0 0 0,-4 0 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0T11:08:47.69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32 150 1392,'-20'37'1185,"11"-19"2912,7-13-2112,21-32 3192,8-12-5569,37-88 1668,-62 110-935,-2 17-332,1 20 244,-2 43-293,-10 72-1,11-130 33,1 1-1,-1-1 1,1 0 0,0 1 0,0-1-1,3 9 1,0 0 2,-6-11-2113</inkml:trace>
  <inkml:trace contextRef="#ctx0" brushRef="#br0" timeOffset="1330.03">281 21 2689,'2'-7'556,"-2"7"-488,0 0 0,0 0 0,1-1 0,-1 1 0,0 0 0,0-1 0,0 1 0,0 0 0,0 0 0,1-1 0,-1 1 0,0 0-1,0-1 1,0 1 0,0 0 0,0-1 0,0 1 0,0 0 0,0-1 0,0 1 0,0 0 0,0-1 0,0 1 0,0 0 0,0-1 0,0 1 0,-1 0 0,1-1 0,0 1 0,0 0 0,0 0-1,0-1 1,-1 1 0,1 0 0,0-1 0,0 1 0,-1 0 0,1 0 0,0 0 0,0-1 0,-1 1 0,1 0 0,0 0 0,-1 0 0,1-1 0,-15 2 5612,13 1-5389,-1-1 0,1 0-1,0 0 1,0 1 0,-1-1 0,1 1-1,-3 3 1,-21 29 750,-21 29-560,44-56-450,0 0-1,0 1 1,1-1-1,0 1 1,1-1-1,0 1 1,-1 12-1,0-4-19,2-12-20,0 0 0,0-1 1,1 1-1,-1 0 0,1 0 0,0-1 0,0 1 0,0-1 0,1 1 1,-1-1-1,3 5 0,-3-6 2,0 1 0,1-1 1,-1 0-1,1 1 0,-1-1 0,1 0 0,0 0 1,0 0-1,0 0 0,0-1 0,0 1 1,1-1-1,-1 1 0,0-1 0,5 2 0,-5-2 4,1-1 0,-1 0 0,0 0 0,0-1 0,0 1 0,0 0-1,0-1 1,0 1 0,0-1 0,0 0 0,0 0 0,0 1 0,0-1-1,0-1 1,0 1 0,0 0 0,-1 0 0,1-1 0,0 1 0,-1-1-1,1 1 1,-1-1 0,0 0 0,1 1 0,-1-1 0,0 0 0,1-4-1,13-28 46,-14 29-16,0 0-1,0 0 1,-1 0 0,0-1 0,0-4 0,0 9-19,0 0 0,0 0 0,0 0 0,0 0 0,0 1 0,0-1 0,0 0 0,-1 0 0,1 0 1,0 0-1,0 1 0,-1-1 0,1 0 0,-1 0 0,1 0 0,-1 1 0,1-1 0,-1 0 0,1 1 1,-1-1-1,0 0 0,1 1 0,-1-1 0,0 1 0,1-1 0,-1 1 0,0 0 0,0-1 0,0 1 1,1 0-1,-1-1 0,0 1 0,0 0 0,0 0 0,0 0 0,0-1 0,1 1 0,-1 0 0,-2 1 0,1-1-2,-1 0 0,1 1 0,-1-1-1,1 1 1,0 0 0,-1 0-1,1 0 1,0 0 0,0 0 0,0 0-1,-1 1 1,1-1 0,1 1-1,-1-1 1,0 1 0,0 0-1,-1 2 1,-1 1-153,1 1 0,0 0 0,0 0 0,-4 12 0,3-6-597,4-12 580,0 0 100,0 0 0,0 0-1,-1 0 1,1 1 0,0-1-1,0 0 1,0 0 0,0 0 0,0 0-1,0 1 1,0-1 0,0 0-1,0 0 1,0 0 0,0 0-1,0 1 1,0-1 0,0 0-1,0 0 1,0 0 0,0 0-1,1 0 1,-1 1 0,0-1-1,0 0 1,0 0 0,0 0-1,0 0 1,0 0 0,0 1-1,0-1 1,1 0 0,-1 0-1,0 0 1,0 0 0,0 0-1,0 0 1,0 0 0,1 0-1,-1 1 1,7 2-949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0T11:08:54.3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20 190 2345,'-19'23'1358,"36"-46"7029,-10 13-8025,-1 0 0,0 0-1,0-1 1,6-18 0,-3 6-179,-4 9-44,0 0-1,3-17 1,-5 19 18,-2 17 2,-1 19-7,0-19-201,7 118 14,7-29-117,-12-78-2181</inkml:trace>
  <inkml:trace contextRef="#ctx0" brushRef="#br0" timeOffset="891.11">252 207 2304,'1'30'1052,"-1"-11"3916,0-28-1213,1-2-3698,17-114 2182,-17 118-2228,0 0-1,1-1 0,0 1 1,0 0-1,1 1 1,3-9-1,7-17 345,-13 32-337,0-1 0,0 0 0,0 1 1,0-1-1,0 0 0,0 1 0,0-1 0,0 0 0,-1 1 0,1-1 0,0 0 0,0 1 0,0-1 0,-1 1 0,1-1 1,0 0-1,-1 1 0,1-1 0,-1 1 0,1-1 0,0 1 0,-1-1 0,1 1 0,-1-1 0,1 1 0,-1 0 1,0-1-1,1 1 0,-1 0 0,1-1 0,-1 1 0,0 0 0,1 0 0,-1 0 0,0-1 0,1 1 0,-1 0 1,0 0-1,1 0 0,-2 0 0,-33-2 187,30 2-174,-7 0 90,7 0-109,0-1 1,0 1 0,0 0-1,0 0 1,0 1-1,0-1 1,0 1 0,1 1-1,-1-1 1,-9 4 0,13-1 56</inkml:trace>
  <inkml:trace contextRef="#ctx0" brushRef="#br0" timeOffset="1652.2">234 82 3785,'-4'5'388,"3"-4"-185,0 1 1,0-1-1,0 0 0,0 1 0,0-1 0,0 1 0,0-1 1,0 1-1,1-1 0,-1 1 0,1-1 0,-1 1 0,1 0 0,-1-1 1,1 1-1,-2 8 6516,12-3-6564,-1-2 133,1 0 1,0 0 0,17 6 0,-16-6-215,1 0 0,-2 0 0,1 1 0,-1 0 0,1 1 0,16 15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0T11:09:00.0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8 198 1240,'-3'11'2859,"3"-11"-2563,0 1 0,0-1 0,0 1 0,0-1 0,-1 1 0,1-1 0,0 1 0,0 0 0,0-1 0,0 1 0,-1-1 0,1 1 0,0-1 0,-1 1-1,1-1 1,0 0 0,-1 1 0,1-1 0,-1 1 0,31-28 5163,-8 6-5208,36-46 0,-56 65-218,0 0 0,-1 0-1,1 0 1,0 0 0,-1-1-1,0 1 1,1 0 0,-1-1-1,0 0 1,0 1 0,0-1 0,-1 1-1,1-1 1,-1 0 0,1 0-1,-1 1 1,0-1 0,0 0-1,0 0 1,0 1 0,-1-1-1,1 0 1,-2-3 0,-1-1 213,2 12-157,-1 23-134,2-12 51,-1 60-48,2-25 4,0-38 50,0 1 1,-1 0-1,-2 14 0,0-16 52</inkml:trace>
  <inkml:trace contextRef="#ctx0" brushRef="#br0" timeOffset="1306.8">258 74 3129,'0'-3'7295,"-2"-1"-4327,-2-11-2284,5 12-603,-1 0 0,0 0 0,1 0 0,-1 0-1,1 0 1,0 0 0,0 0 0,0 1 0,1-1-1,-1 0 1,3-3 0,-3 5-69,-1 0-1,1 0 1,0 0-1,0 0 1,0 0 0,0 0-1,0 0 1,0 1-1,0-1 1,0 0-1,0 1 1,0-1 0,0 0-1,1 1 1,-1 0-1,0-1 1,0 1-1,0 0 1,1-1 0,-1 1-1,0 0 1,1 0-1,-1 0 1,0 0 0,0 0-1,1 1 1,-1-1-1,0 0 1,0 0-1,1 1 1,-1-1 0,0 1-1,0-1 1,2 2-1,-1 0-1,0 0-1,1 0 0,-1 0 0,0 1 0,0-1 1,-1 0-1,1 1 0,0 0 0,-1-1 1,0 1-1,0 0 0,0 0 0,0 0 0,0 0 1,0-1-1,-1 1 0,1 0 0,-1 4 1,1 1-2,0-1-1,-1 1 1,0 0 0,0-1 0,-1 1 0,-2 9 0,0-8-20,-1-1 0,0 0-1,0 0 1,-8 11 0,-3 6 33,14-23-23,0 0 0,0 0 0,0 0 0,0 0 0,1 1 0,-1-1 0,0 0 0,1 1 0,0-1 0,-1 0 0,1 1 0,0-1 0,0 0-1,1 1 1,-1-1 0,0 0 0,1 1 0,0 1 0,1 0-1,-1-1-1,1 0 1,0 0 0,0 0-1,0 0 1,1 0-1,-1 0 1,1 0-1,0-1 1,-1 1-1,5 2 1,-6-4 2,1 0 1,-1-1-1,0 1 1,0 0-1,1-1 1,-1 1-1,0-1 0,1 0 1,-1 1-1,0-1 1,1 0-1,-1 0 0,1 0 1,-1 1-1,0-2 1,1 1-1,-1 0 1,1 0-1,-1 0 0,0-1 1,1 1-1,-1 0 1,0-1-1,1 0 0,-1 1 1,0-1-1,0 0 1,1 1-1,-1-1 1,0 0-1,0 0 0,0 0 1,0 0-1,0 0 1,1-2-1,2-1 16,-1-1 0,0 1-1,0-1 1,-1 1 0,1-1 0,-1 0-1,0 0 1,2-6 0,-4 9-1,0 1-1,1-1 1,-1 1-1,0-1 1,0 0-1,0 1 0,0-1 1,0 1-1,-1-1 1,1 1-1,0-1 1,-1 0-1,1 1 1,-1-1-1,1 1 1,-1 0-1,0-1 1,0 1-1,0-1 1,0 1-1,0 0 1,-2-2-1,-2-2 105,0 1 0,-1 0 0,1 0 0,-9-4 0,-14-10 318,-2-3-98,25 18-302,-1 0 0,1-1-1,0 1 1,0-1 0,0 0 0,1-1 0,-1 1 0,-5-9-1,10 12-184,-1 0 0,1 0 0,-1 0 0,1 0 0,-1-1-1,1 1 1,0 0 0,0 0 0,0-1 0,0 1-1,0 0 1,0 0 0,0-1 0,0 1 0,0 0 0,0 0-1,1 0 1,-1-1 0,0 1 0,1 0 0,-1 0-1,1 0 1,0 0 0,-1 0 0,1 0 0,0 0 0,0 0-1,1-2 1,8-2-960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3:59.19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0,'1'38,"8"46,-6-61,2 38,-5-43,2-2,-1 2,2-1,0-1,1 1,7 19,-9-30,0-1,-1 1,0 0,0-1,0 2,0-2,-1 2,-1 6,1-5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4:02.38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15,'31'-7,"1"0,128 7,-152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4:14.31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1,'287'0,"-279"0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14:17.91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0,'0'0,"1"1,-1-1,1 1,-1-1,1 1,-1-1,1 1,-1-1,0 1,1 0,-1-1,0 1,0-1,1 1,-1 0,0-1,0 1,0 0,0-1,0 1,0 0,0 1,1 18,-1-18,3 31,8 46,-3-32,-2-17,-4-21,0 0,0 0,0 17,0 1,0-19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19T16:23:25.12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1-23T16:41:54.07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20,'0'0,"0"-8,0-3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3T16:41:57.9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62 85 1328,'-22'-19'366,"-6"-7"4035,28 31-1490,8 26-2939,84 176 99,59 98-21,-65-160 15,-40-71 94,53 116 0,19 66 407,-21-49 134,-8-36-453,-3-5 34,-84-161-266,4 6 24,-1 0 1,-1 0-1,0 1 0,0-1 0,-1 1 0,2 18 0,-5-30-42,0 1 1,0-1-1,0 0 0,0 1 0,0-1 0,0 1 1,-1-1-1,1 0 0,0 1 0,0-1 0,0 0 1,0 1-1,-1-1 0,1 0 0,0 0 0,0 1 1,-1-1-1,1 0 0,0 1 0,-1-1 0,1 0 1,0 0-1,0 0 0,-1 1 0,1-1 0,0 0 1,-1 0-1,1 0 0,-1 0 0,1 0 0,0 0 1,-1 0-1,1 0 0,0 0 0,-1 0 0,1 0 1,-1 0-1,1 0 0,0 0 0,-1 0 1,1 0-1,0 0 0,-1 0 0,0-1 0,-18-5-448,9 0-475,0 0 1,0-1 0,-10-8 0,-9-10-401</inkml:trace>
  <inkml:trace contextRef="#ctx0" brushRef="#br0" timeOffset="1370.96">59 78 1536,'-29'-65'1107,"21"53"4156,5 15-4002,3 17-2009,0-18 1178,-1 77-223,3 121-124,0-68-57,-3-86-22,1 1 0,9 51 0,-19-210 518,2-111-54,3 59-22,1 147-255,2 9 533,6 14 900,-3-4-1596,0-1 1,0 0-1,0 0 0,0 1 1,0-1-1,1 0 0,-1 0 1,1 0-1,-1 0 0,1 0 1,2 0-1,23 18 123,-1 4-114,1-1 0,2-2 0,0 0 0,35 17 0,17-7-11,22 11 46,-96-38-64,24 13 195,36 22 0,-65-36-171,0 0 0,1 0 0,-1 1 0,0-1 0,0 0 0,-1 1 0,4 4 0,-4-5-10,0 0-1,1 0 0,-1 0 0,0 0 1,1 0-1,0 0 0,0 0 0,-1 0 1,1-1-1,0 1 0,0-1 0,4 3 1,17 14 186,-21-16-483,0 0 1,0 0-1,1 0 0,-1 0 0,1 0 0,-1-1 1,4 2-1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3T16:42:02.8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219 82 1056,'-12'-16'615,"12"16"-583,0 0 1,0 0-1,0 0 0,-1 0 1,1 0-1,0-1 0,0 1 1,0 0-1,0 0 0,0 0 1,0 0-1,-1 0 0,1 0 1,0 0-1,0 0 0,0 0 0,0 0 1,-1 0-1,1 0 0,0 0 1,0 0-1,0 0 0,0 0 1,0 0-1,-1 0 0,1 0 1,0 0-1,0 0 0,0 0 1,0 0-1,-1 0 0,1 0 1,0 0-1,0 0 0,0 0 1,0 0-1,0 0 0,-1 0 1,1 1-1,0-1 0,0 0 1,0 0-1,0 0 0,0 0 1,0 0-1,0 1 0,-2 4 369,1 0 0,0 0 0,0 0 0,1 0 0,0 6 1,-1-9-395,-39 434 2629,35-354-2475,-32 326 860,22-216 75,5-47-372,8-129-657,0 1-26,0 0-1,1 1 1,1-1 0,0 0-1,6 33 1,-4-46-68,-1 0 0,0 0 0,0 1 0,-1-1 0,1 0 0,-1 0-1,0 0 1,0 1 0,0-1 0,0 0 0,-1 0 0,0 0 0,0 1 0,0-1 0,0 0 0,-1 0 0,0 0-1,-3 6 1,5-10-32,0 0 0,0 0 1,0 1-1,-1-1 0,1 0 0,0 0 0,0 0 0,0 1 0,0-1 0,-1 0 0,1 0 0,0 0 0,0 0 0,0 0 0,-1 1 0,1-1 0,0 0 1,0 0-1,0 0 0,-1 0 0,1 0 0,0 0 0,0 0 0,-1 0 0,1 0 0,0 0 0,0 0 0,-1 0 0,1 0 0,0 0 0,0 0 1,-1 0-1,1 0 0,0 0 0,0 0 0,0 0 0,-1-1 0,1 1 0,0 0 0,0 0 0,-1 0 0,-2-7-790</inkml:trace>
  <inkml:trace contextRef="#ctx0" brushRef="#br0" timeOffset="809.23">187 71 2609,'-8'1'5830,"0"9"-5193,-3 8-571,-2 0-57,7-12-6,1 0-1,1 1 1,-1-1 0,1 1-1,0 0 1,1 0 0,-1 1 0,2-1-1,-4 12 1,1 2 4,-21 76 54,22-86-41,-1 0 0,0 0 0,0 0-1,-1-1 1,-1 0 0,-11 13 0,-4 11 45,21-38-2,6-5 2,4-3 4,0 0 0,-1-1 1,0 0-1,-1-1 0,-1 0 0,0 0 0,5-19 0,13-45 736,66-139-1,-90 217-794,0 0 0,0-1 0,0 1 0,0 0 0,0 0 1,0 0-1,0 0 0,0 0 0,0-1 0,0 1 0,0 0 0,0 0 0,0 0 0,0 0 1,0 0-1,0 0 0,0-1 0,1 1 0,-1 0 0,0 0 0,0 0 0,0 0 0,0 0 1,0 0-1,0 0 0,0 0 0,1 0 0,-1-1 0,0 1 0,0 0 0,0 0 0,0 0 1,0 0-1,1 0 0,-1 0 0,0 0 0,0 0 0,0 0 0,0 0 0,0 0 0,1 0 1,-1 0-1,0 0 0,0 0 0,0 0 0,0 0 0,0 0 0,1 0 0,-1 1 0,0-1 0,4 10 327,-1 19-11,-3-26-291,2 14-16,0 0 0,2 0-1,0-1 1,0 1 0,2-1-1,0 0 1,0 0 0,12 18-1,-11-22-10,1 0-1,1-1 0,0 0 1,0-1-1,1 1 1,0-2-1,1 0 1,0 0-1,0-1 0,19 10 1,-25-16-241,0 1 0,-1-1 0,1 1 1,-1 0-1,0 0 0,0 0 0,0 0 0,0 1 1,0 0-1,-1-1 0,1 1 0,-1 1 0,0-1 1,-1 0-1,5 8 0,-1 1-795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3T16:42:04.9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1146 45 1080,'0'-1'48,"-1"1"-1,1-1 0,0 0 1,-1 0-1,1 1 0,-1-1 1,1 0-1,-1 0 0,1 1 1,-1-1-1,1 1 1,-1-1-1,0 0 0,1 1 1,-1-1-1,0 1 0,0 0 1,1-1-1,-1 1 0,0-1 1,0 1-1,0 0 1,1 0-1,-1-1 0,0 1 1,0 0-1,0 0 0,0 0 1,1 0-1,-1 0 0,0 0 1,0 0-1,0 1 0,0-1 1,0 0-1,1 0 1,-1 1-1,0-1 0,0 0 1,1 1-1,-2 0 0,-3 2 302,0 1-1,1 0 0,-1 0 0,0 1 0,-5 7 0,-11 14 803,5-4-222,-32 31 0,25-30-725,2 1 1,-1 2-1,-24 38 1,-43 88 790,40-63-161,-10 12-141,-79 104 0,58-93-408,-82 154 0,24-36 428,115-194-591,-2-2-1,-40 44 1,16-15-766,49-63 613,0 1 0,0-1 0,0 0-1,0 0 1,0 0 0,0 0 0,0 1-1,0-1 1,0 0 0,-1 0 0,1 0 0,0 0-1,0 0 1,0 1 0,0-1 0,0 0 0,-1 0-1,1 0 1,0 0 0,0 0 0,0 0 0,-1 0-1,1 0 1,0 0 0,0 0 0,0 0 0,-1 0-1,1 0 1,0 0 0,0 0 0,0 0-1,0 0 1,-1 0 0,1 0 0,0 0 0,0 0-1,0 0 1,-1 0 0,1 0 0,0 0 0,0 0-1,0 0 1,0 0 0,-1-1 0,0-9-2007,6-6 702</inkml:trace>
  <inkml:trace contextRef="#ctx0" brushRef="#br0" timeOffset="847.83">1052 120 1232,'43'-34'904,"-43"34"-887,0 0 0,0 0-1,0 0 1,0-1-1,2 1 1,-2 0-1,0 0 1,0 0-1,0 0 1,0 0-1,0 0 1,0-1 0,0 1-1,0 0 1,1 0-1,-1 0 1,0 0-1,0 0 1,0-1-1,0 1 1,0 0-1,0 0 1,0 0 0,0 0-1,0-1 1,0 1-1,0 0 1,0 0-1,0 0 1,0 0-1,0-1 1,0 1-1,0 0 1,0 0 0,0 0-1,-1 0 1,1-1-1,0 1 1,0 0-1,0 0 1,0 0-1,0 0 1,0 0-1,0-1 1,-2 1 0,2 0-1,0 0 1,-12-2 847,-16 5 423,0 6-770,0 1 0,0 1 0,0 1-1,2 2 1,0 0 0,1 2-1,0 1 1,-36 33 0,55-45-307,1-2 0,-1 1 0,0 0 0,-7 2 0,-6 4 355,18-10-563,1 1 0,0-1-1,-1 0 1,1 0 0,0 0 0,0 1 0,-1-1 0,1 0 0,0 1 0,0-1 0,-1 0 0,1 1-1,0-1 1,0 0 0,0 1 0,0-1 0,-1 0 0,1 1 0,0-1 0,0 0 0,0 1-1,0-1 1,0 0 0,0 1 0,0-1 0,0 1 0,0-1 0,0 0 0,0 1 0,0-1 0,0 0-1,0 1 1,1-1 0,-1 0 0,0 1 0,0-1 0,0 0 0,0 1 0,1-1 0,-1 0 0,0 1-1,0-1 1,1 0 0,-1 0 0,0 1 0,1-1 0,-1 0 0,0 0 0,1 0 0,-1 1-1,0-1 1,1 0 0,-1 0 0,0 0 0,1 0 0,-1 0 0,0 0 0,1 0 0,-1 0 0,0 0-1,1 0 1,-1 0 0,1 0 0,35-19 148,0-1 0,-1-4 0,36-29 0,-38 27 2,2 2-1,65-36 1,-100 60-148,0-1 1,1 1-1,-1 0 1,1-1-1,-1 1 1,1 0-1,0-1 1,-1 1-1,1 0 1,-1 0-1,1 0 1,-1-1-1,1 1 1,0 0-1,-1 0 1,1 0-1,-1 0 1,1 0-1,0 0 1,-1 0-1,1 0 1,0 0-1,-1 1 1,1-1-1,-1 0 1,1 0-1,-1 0 1,1 1-1,0-1 1,-1 0-1,1 1 1,-1-1-1,1 0 0,-1 1 1,0-1-1,2 1 1,-2-1-1,1 1 1,-1-1-1,0 1 1,1-1-1,-1 1 1,0-1-1,1 1 1,-1-1-1,0 1 1,0-1-1,0 1 1,0 0-1,0-1 1,1 1-1,-1-1 1,0 1-1,0 0 1,-1 0-1,1 7 31,0 0-1,-1 0 1,-4 14-1,2-2-32,4 73 49,1-70-33,-2-1 0,0 1 0,-1 0 0,-1 0 0,-6 23-1,6-38-3,1 0-1,-1 0 0,2 0 0,-1 15 1,1-20-62,0 0 0,0 0 0,1-1 1,-1 1-1,1 0 0,-1 0 0,1-1 1,0 1-1,0 0 0,1-1 0,-1 1 1,0-1-1,1 1 0,-1-1 0,1 0 1,5 5-1,-4-7-1234,-1-5 558</inkml:trace>
  <inkml:trace contextRef="#ctx0" brushRef="#br0" timeOffset="1812.48">2816 143 1840,'39'-41'1614,"-49"51"-846,1 1 0,-1-2 1,-21 17-1,-6 5 291,5 3-656,0 2 1,-34 51 0,-44 85-232,25-37 408,-164 207 1197,91-130-1443,-99 108 427,214-275-585,-69 53-1,95-89-593,17-9 377,-1 0 1,1 0 0,-1 0-1,1 0 1,0 0-1,-1 0 1,1-1 0,-1 1-1,1 0 1,0 0-1,-1 0 1,1 0-1,0-1 1,-1 1 0,1 0-1,0-1 1,-1 1-1,1 0 1,0 0 0,-1-1-1,1 1 1,0 0-1,0-1 1,0 1 0,-1-1-1,1 1 1,0 0-1,0-1 1,0 1 0,0-1-1,0 1 1,0 0-1,-1-1 1,1 1 0,0-1-1,0 1 1,1-1-1,-1 1 1,0 0-1,0-1 1,0 1 0,0-1-1,0 1 1,0 0-1,0-1 1,1 1 0,-1-1-1,4-28-683</inkml:trace>
  <inkml:trace contextRef="#ctx0" brushRef="#br0" timeOffset="2577.25">2814 113 1664,'6'-4'2071,"-11"3"909,-13 4-1114,1 3-1729,1 1 1,1 0 0,-1 1-1,1 1 1,0 0 0,-23 19 0,-15 22 10,35-33-114,-23 18 0,-48 33 62,88-67-96,-1 0 0,1 0 0,0 0 0,0 0 0,0 1 0,0-1 0,0 0 0,1 0 0,-1 1 0,0-1 0,0 0 1,1 1-1,-2 2 0,6-3-25,8-8 23,154-119 170,-102 74-70,98-82 1081,-162 134-1168,0 0-1,0 0 1,0 0 0,0 0 0,0 0 0,1-1 0,-1 1 0,0 0 0,0 0-1,0 0 1,0 0 0,0 0 0,0 0 0,0-1 0,0 1 0,0 0-1,0 0 1,1 0 0,-1 0 0,0 0 0,0 0 0,0 0 0,0 0 0,0 0-1,0 0 1,1 0 0,-1-1 0,0 1 0,0 0 0,0 0 0,0 0-1,1 0 1,-1 0 0,0 0 0,0 0 0,0 0 0,0 0 0,0 0 0,1 1-1,-1-1 1,0 0 0,0 0 0,0 0 0,0 0 0,0 0 0,0 0-1,1 0 1,-1 0 0,0 0 0,0 0 0,0 0 0,0 1 0,-2 9 201,-11 19-52,-11 20-119,2 1 1,4 3-1,1-1 0,-15 80 1,31-128-63,0 0 0,1-1 0,-1 1 0,1 0 0,0 0 0,0 0 0,0 0 0,1 0 0,1 6 0,-2-9-11,0-1 1,0 1-1,1-1 1,-1 1 0,0-1-1,0 0 1,1 1 0,-1-1-1,0 1 1,1-1-1,-1 0 1,1 1 0,-1-1-1,0 0 1,1 0 0,-1 1-1,1-1 1,-1 0-1,1 0 1,-1 0 0,0 0-1,1 1 1,-1-1 0,1 0-1,-1 0 1,1 0-1,0 0 1,1-1-161,0 1 1,0-1-1,0 1 0,0-1 1,0 0-1,0 0 1,0 0-1,0 0 0,0 0 1,2-2-1,15-11-728</inkml:trace>
  <inkml:trace contextRef="#ctx0" brushRef="#br0" timeOffset="3491.51">4689 68 1976,'-10'3'294,"1"1"0,0 0-1,0 1 1,0 0-1,0 0 1,1 1-1,-10 7 1,4-3 54,-13 13 374,2 2-1,0 0 1,1 2 0,-39 56 0,26-33-214,-50 67 452,-109 134 207,111-154-831,-82 120 0,140-176-280,-278 380 890,255-356-850,29-35-87,-3-2 0,-29 30 1,52-57-54,-1 1 0,0-1 0,1 1 0,-1-1 1,0 0-1,0 0 0,0 0 0,0 0 0,0 0 1,0 0-1,0-1 0,-2 1 0,4-1 4,0 0 0,-1 0 0,1 0 0,0 0 0,0 0-1,-1 0 1,1 0 0,0 0 0,-1 0 0,1 0 0,0 0 0,0 0-1,-1 0 1,1-1 0,0 1 0,0 0 0,0 0 0,-1 0 0,1 0-1,0-1 1,0 1 0,0 0 0,-1 0 0,1 0 0,0-1 0,0 1-1,0 0 1,0 0 0,0-1 0,0 1 0,-1 0 0,4-16-1767,7-10 779</inkml:trace>
  <inkml:trace contextRef="#ctx0" brushRef="#br0" timeOffset="4231.42">4438 175 1896,'50'-28'1509,"-48"25"455,-8 3-564,-11 5 219,1 7-1257,0 0 0,0-2 0,-18 10 0,-28 19-256,-107 95 349,167-132-392,-1 1 0,1-1 0,-1 1 0,1 0 0,0 0 0,0 0 0,0 0 0,-2 5 0,9-15-47,-1 0 1,1 0 0,1 0 0,-1 1-1,2-1 1,7-5 0,43-33 43,58-49 169,-11 8 114,-97 81-315,-1 1-1,1-1 0,-1 2 1,1-1-1,0 1 0,0 0 1,0 0-1,1 1 0,11-3 1,-18 5-19,0 0 1,-1-1 0,1 1-1,0 0 1,0 0 0,-1 0-1,1 0 1,0 0 0,0 0-1,-1 0 1,1 0 0,0 0-1,-1 0 1,1 1 0,0-1-1,0 0 1,-1 0 0,1 1-1,0-1 1,-1 0 0,1 1-1,0-1 1,-1 1 0,1-1 0,-1 1-1,1-1 1,-1 1 0,1-1-1,-1 1 1,1 0 0,-1-1-1,0 1 1,1 0 0,-1-1-1,0 1 1,1 0 0,-1-1-1,0 1 1,0 0 0,0 0-1,0-1 1,1 1 0,-1 0-1,0 0 1,-1-1 0,1 2-1,-1 4 40,0-1-1,0 1 1,-1-1-1,0 0 0,-2 6 1,3-9-37,-30 75 14,4 0 1,-25 109-1,51-183-98,1 0 1,0 0-1,-1 0 1,1 0 0,0 0-1,0 0 1,1 6-1,-1-9-31,1 1 0,-1 0-1,0 0 1,0 0-1,1-1 1,-1 1-1,1 0 1,-1-1 0,0 1-1,1 0 1,-1-1-1,1 1 1,0 0-1,-1-1 1,1 1 0,-1-1-1,1 1 1,0-1-1,-1 0 1,1 1-1,0-1 1,0 1 0,-1-1-1,1 0 1,0 0-1,0 0 1,0 1-1,-1-1 1,3 0 0,9 0-828</inkml:trace>
  <inkml:trace contextRef="#ctx0" brushRef="#br0" timeOffset="5017.37">6280 37 2320,'66'-36'2493,"-76"42"-1744,0 2 0,0-1 0,1 1 0,0 1 0,-12 14 0,-36 55 1036,39-53-1769,-294 465 739,164-250-518,51-74-205,-116 270 0,211-432-37,-58 124 43,50-109-105,-1-1 0,0-1 0,-3 0-1,-21 24 1,25-35-440,5-9-592,2-19-796,7-6 929</inkml:trace>
  <inkml:trace contextRef="#ctx0" brushRef="#br0" timeOffset="5770.94">6240 48 2641,'5'-12'365,"2"-5"267,-9 15-260,-7 7 84,-6 4 21,0 0-1,-18 6 0,19-8-175,0-1-1,0 2 1,-21 15 0,31-20-231,-132 100 2783,136-102-2845,-37 28 775,35-27-750,1-1 0,-1 1-1,1 0 1,-2-1-1,2 1 1,0 0-1,0 0 1,-1 0 0,1 0-1,1 0 1,-1 0-1,0 0 1,0 0-1,1 0 1,0 0 0,-1 1-1,1-1 1,0 0-1,0 2 1,12-11 70,-5 1-76,155-117 255,-150 114-245,-1 1 10,-1 1 1,2 0 0,-1 0-1,1 1 1,13-5 0,-25 11-41,1-1 0,-1 1 1,1 0-1,-1 0 0,1 0 1,-1 0-1,1 0 0,-1 0 1,1 0-1,-1 0 0,1 0 0,-1 0 1,1 0-1,-1 0 0,1 0 1,-1 0-1,1 1 0,-1-1 1,1 0-1,-1 0 0,1 1 1,-1-1-1,1 0 0,-1 0 1,0 1-1,1-1 0,-1 0 1,1 1-1,-1-1 0,0 1 1,1-1-1,-1 1 0,0-1 1,0 1-1,1-1 0,-1 0 1,0 1-1,0-1 0,0 1 0,0 0 1,0-1-1,1 1 0,-1 26 126,0-22-110,-4 31 41,-2 0-1,-15 56 0,-6 33-399,26-123 201,1-1 1,0 1-1,0-1 1,0 0-1,0 1 1,0-1 0,0 1-1,0-1 1,0 0-1,0 1 1,1-1-1,-1 0 1,1 1 0,-1-1-1,1 0 1,-1 1-1,1-1 1,0 0-1,-1 0 1,1 0 0,0 0-1,0 0 1,0 0-1,0 0 1,0 0-1,0 0 1,0 0-1,0 0 1,1 0 0,1 0-1,8 4-722</inkml:trace>
  <inkml:trace contextRef="#ctx0" brushRef="#br0" timeOffset="6517.89">8033 1 1672,'-3'4'6403,"-4"2"-3951,-11 9-2063,-136 150 414,-40 62-242,-79 101-9,272-326-551,-38 45 41,37-44-39,0-1 0,0 0 0,-1 0 0,1 1 0,-1-1 0,1-1 0,-1 1 0,0 0 1,1-1-1,-1 1 0,0-1 0,-3 1 0,4-2-1,1 0-1,-1 0 1,1 0 0,-1 0 0,1-1-1,-1 1 1,1 0 0,-1-1 0,1 1-1,0-1 1,-1 1 0,1-1 0,0 0-1,-1 0 1,1 0 0,0 0 0,0 0-1,0 0 1,-1 0 0,0-1 0,-24-33 39,20 26-28,1 2 1,-1-1-1,-11-10 1,16 17-12,-1 0 0,1 0 0,0 0 0,0 0 1,0 0-1,-1 0 0,1 1 0,0-1 0,-1 0 0,1 1 1,-1-1-1,1 1 0,-1-1 0,1 1 0,-1 0 1,1 0-1,-1 0 0,1 0 0,-1 0 0,0 0 0,1 0 1,-1 0-1,1 1 0,-1-1 0,1 0 0,-2 2 0,-3 1 5,0 1-1,0 1 1,0-1-1,1 1 1,-1 0-1,1 0 1,-5 8-1,-49 62 41,58-73-46,-117 156 76,117-157-77,-14 18 7,1 0 1,1 1-1,1 0 1,0 1-1,2 2 1,1-1-1,-9 27 1,-30 170 20,28-121-14,17-84-6,1-1-1,-2 0 1,0 1 0,-1 0-1,0-1 1,0-1-1,-14 22 1,18-34-7,-95 147 184,92-141-325,6-9-275,8-14-341,7-30-1851,-6 13 1688</inkml:trace>
  <inkml:trace contextRef="#ctx0" brushRef="#br0" timeOffset="7297.03">7908 83 1936,'13'-17'609,"1"-1"-775,-14 18 261,1 0-1,-1 0 0,0-1 0,0 1 0,0 0 0,0 0 0,0 0 1,0-1-1,0 1 0,0 0 0,0 0 0,0 0 0,0-1 0,0 1 0,0 0 1,0 0-1,0 0 0,0-1 0,0 1 0,0 0 0,0 0 0,0 0 1,0-1-1,0 1 0,0 0 0,0 0 0,0 0 0,-1-1 0,1 1 1,0 0-1,0 0 0,0 0 0,0 0 0,0-1 0,-1 1 0,1 0 0,0 0 1,0 0-1,0 0 0,0 0 0,-1 0 0,1 0 0,0 0 0,0-1 1,0 1-1,-1 0 0,1 0 0,0 0 0,0 0 0,-1 0 0,1 0 1,0 0-1,0 0 0,0 0 0,-1 0 0,1 0 0,0 1 0,0-1 0,0 0 1,-1 0-1,-55 5 3390,40-2-3476,1 2 0,0 0 1,-1 0-1,1 2 0,1-1 1,-14 10-1,-78 41 32,43-24 52,-75 53-1,130-81-67,0 1 1,1 0-1,-1 0 1,1 1 0,1 0-1,-1 0 1,1 1-1,-8 12 1,11-11-35,8-8-16,13-11-24,-9 4 49,167-93 175,59-36 367,-204 115-417,1 2 0,38-16 0,-69 33-118,-1 1 0,1 0-1,0-1 1,-1 1 0,1 0-1,0 0 1,-1 0 0,1 0-1,0 0 1,-1 0 0,1 0-1,0 0 1,0 0 0,-1 0 0,1 0-1,1 0 1,-2 0 0,1 0-1,0 1 1,-1-1 0,1 0-1,0 0 1,-1 1 0,1-1-1,-1 0 1,1 1 0,1 0 0,-2 1 9,1-1 0,0 0 0,0 1 1,0-1-1,-1 1 0,1 0 1,-1-1-1,1 1 0,-1-1 0,0 1 1,1 3-1,-1 5 70,0 1 0,-3 21 0,2-28-77,-7 61 104,2-17-122,0 0 1,-3-1 0,-21 67-1,21-87-2382,9-26 1574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3T16:42:13.9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4 196 2040,'-4'4'6554,"4"3"-3880,7 10-2802,-3-8 781,-2-3-600,0 0 0,1 0 1,0 0-1,0 0 0,1-1 0,-1 1 0,1-1 0,0 0 1,8 8-1,-5-6-17,0 1 0,0 0 1,-1 0-1,8 15 1,18 45 13,-4 2-1,31 112 1,-42-128-41,35 132-6,12 38 17,-40-155 14,34 74 0,-56-138-26,1-1 1,-1 0-1,0 0 0,1 0 1,0-1-1,0 1 0,6 5 1,-9-9-5,1 1 0,-1-1 0,1 0 0,0 1 1,-1-1-1,1 1 0,0-1 0,-1 0 0,1 0 1,0 1-1,-1-1 0,1 0 0,0 0 1,-1 0-1,1 0 0,0 0 0,0 0 0,-1 0 1,1 0-1,0 0 0,0 0 0,-1 0 0,1 0 1,0 0-1,-1-1 0,1 1 0,0 0 1,-1 0-1,1-1 0,0 1 0,-1-1 0,1 1 1,-1 0-1,1-1 0,0 1 0,-1-1 0,1 0 1,-1 1-1,0-1 0,1 1 0,-1-1 1,1 0-1,-1 1 0,0-1 0,0 0 0,1 1 1,-1-1-1,0 0 0,0 1 0,0-3 0,4-10 106,0-1 0,-1 0-1,-1 0 1,0 0 0,-1-26-1,0 13 42,10-208 209,37-526 1096,-31 631-1800,-8 99-346,-9 31 652,0-1 0,0 1 0,0 0 0,0 0 0,0-1 0,0 1 0,0 0 0,0 0 0,0 0 0,0-1 0,1 1 0,-1 0 0,0 0 0,0-1 0,0 1 0,0 0 0,1 0 0,-1 0 0,0 0 0,0-1 0,0 1 0,1 0 0,-1 0 0,0 0 0,0 0 0,1 0 0,-1 0 0,0 0 0,0 0-1,1 0 1,-1 0 0,0 0 0,0 0 0,1 0 0,-1 0 0,0 0 0,0 0 0,1 0 0,-1 0 0,0 0 0,0 0 0,1 0 0,-1 0 0,0 0 0,0 0 0,1 0 0,-1 1 0,0-1 0,0 0 0,1 0 0,7 20-2389,5 36 919</inkml:trace>
  <inkml:trace contextRef="#ctx0" brushRef="#br0" timeOffset="637.5">909 1311 2288,'2'-22'1563,"0"0"-1,1-1 1,10-30-1,-7 26-721,40-260 3137,-22-4-2806,-5 43-698,14-79 170,-33 327-641,0 0-1,0-1 1,0 1-1,0 0 0,0-1 1,0 1-1,0-1 0,0 1 1,0 0-1,0-1 1,0 1-1,0-1 0,0 1 1,0 0-1,0-1 1,1 1-1,-1 0 0,0-1 1,0 1-1,0 0 1,1-1-1,-1 1 0,0 0 1,0-1-1,1 1 1,-1 0-1,0 0 0,1-1 1,0 1-1,6 9 39,9 27-2,36 149-25,-17-55-32,33 80-17,30 109-166,-81-246 102,74 276-506,-85-323 633,1-2-613,-2-11-3493,-6-16 3036</inkml:trace>
  <inkml:trace contextRef="#ctx0" brushRef="#br0" timeOffset="1003.68">1095 1026 5065,'-60'-44'2497,"78"34"-865,4-1-296,12-4-544,8 0-151,1-13-289,9-2-112,7-3-512,-5-2-609,-5 12 577</inkml:trace>
  <inkml:trace contextRef="#ctx0" brushRef="#br0" timeOffset="1348.82">1729 203 6937,'0'-1'150,"-1"0"0,0 1-1,1-1 1,-1 1-1,0-1 1,0 0-1,1 1 1,-1 0-1,0-1 1,0 1-1,0-1 1,0 1 0,1 0-1,-1-1 1,0 1-1,0 0 1,0 0-1,0 0 1,0 0-1,0 0 1,0 0-1,0 0 1,1 0 0,-1 0-1,0 0 1,0 1-1,0-1 1,0 0-1,0 1 1,0-1-1,1 0 1,-1 1 0,0-1-1,0 1 1,0-1-1,1 1 1,-1 0-1,0-1 1,1 1-1,-1 0 1,0 1-1,-2 1-109,1-1-1,0 1 0,1 1 0,-1-1 0,0 0 0,1 0 0,0 1 0,0-1 0,-2 7 1,0 19 13,2 1 1,0-1-1,2 0 1,8 51-1,34 117-87,-20-99 57,90 359 29,-108-440-7,0 0-1,1 0 1,1-1 0,1 0 0,1-1 0,17 26 0,-22-37-26,-1 1-1,1-1 1,1 0-1,-1 0 1,1 0-1,-1-1 1,1 1 0,0-1-1,0 0 1,8 2-1,-9-3-10,0-1-1,0 0 1,0 0-1,0-1 1,0 1 0,0-1-1,0 0 1,0 0-1,1-1 1,-1 1-1,0-1 1,0 0-1,0 0 1,0 0-1,0 0 1,4-3-1,8-4-11,1-2 0,-1 0-1,-1-1 1,0-1 0,-1 0-1,0-1 1,0 0-1,-2-1 1,0-1 0,13-19-1,-15 19-976,-1 0 1,-1 0-1,9-25 0,-6 5-466</inkml:trace>
  <inkml:trace contextRef="#ctx0" brushRef="#br0" timeOffset="1742.66">2366 929 3921,'18'2'252,"-7"-2"-42,0 1 0,-1 1-1,1 0 1,-1 0 0,1 1 0,11 5 0,-19-6-127,1 0 0,-1 1 0,1-1 0,-1 1 0,0 0 0,0-1 0,0 2 0,-1-1 0,1 0 0,-1 0 0,1 1 0,-1 0 0,0-1 0,-1 1 0,1 0 0,-1 0 0,1 0 0,-1 0 0,1 6 0,2 9 153,29 113 482,-27-111-691,2-1 0,0 0-1,1-1 1,15 24 0,-22-41 6,-1 1-1,1 0 1,0-1 0,1 1 0,-1-1 0,0 0 0,1 0-1,-1 0 1,1 0 0,0 0 0,0 0 0,4 1-1,-5-2 16,0-1 0,-1 1 0,1-1-1,0 0 1,0 1 0,0-1 0,0 0-1,0 0 1,0-1 0,0 1 0,0 0-1,-1 0 1,1-1 0,0 0 0,0 1-1,0-1 1,-1 0 0,1 0 0,0 0-1,-1 0 1,1 0 0,-1 0 0,1 0-1,1-2 1,4-4 78,-1-1 0,0 1 0,-1-1-1,1-1 1,-2 1 0,1-1 0,-1 0-1,0 0 1,-1 0 0,0 0 0,2-11 0,2-16 46,6-61 1,-9 30-94,-2-1-1,-3 0 1,-13-91-1,7 119 158,-1-1 0,-2 2 0,-2-1 0,-1 2 0,-2-1 0,-38-66 0,46 92-106,-2 0 0,0 1 0,0 1 0,-1 0 0,0 0 0,-1 1 1,0 0-1,-1 0 0,-21-12 0,26 18-82,0 0 0,-1 1-1,0 0 1,0 0 0,0 0 0,0 1 0,0 0 0,0 1-1,-1 0 1,1 0 0,0 1 0,-1 0 0,1 0 0,-1 1-1,1 0 1,0 1 0,0 0 0,-13 4 0,13-3-33,0 1 1,0 1-1,1-1 1,-1 1-1,1 0 1,0 1-1,0-1 1,1 2 0,0-1-1,0 1 1,0-1-1,1 2 1,0-1-1,0 0 1,-6 15-1,0 5-17,1 0 1,1 0-1,-9 49 0,7-12-196,2 1 0,4 0-1,2 0 1,3 1 0,9 69 0,-5-101-419,16 65 0,-11-72 249,25 50 0</inkml:trace>
  <inkml:trace contextRef="#ctx0" brushRef="#br0" timeOffset="2503.71">3068 294 3897,'-20'-63'2184,"20"63"-2137,0-1 0,-1 1 0,1 0 0,0-1 0,0 1 0,0-1-1,0 1 1,0-1 0,0 1 0,0 0 0,0-1 0,0 1 0,0-1 0,0 1-1,1-1 1,-1 1 0,0 0 0,0-1 0,0 1 0,0-1 0,1 1 0,-1 0-1,0-1 1,1 1 0,7 3 765,7 15 222,-9-5-803,-1 0 1,0 1-1,-1-1 0,0 1 0,-1 1 0,1 20 0,3 13 0,61 475 195,-57-407-237,-5-68 69,-3 0 0,-2 51 0,0-99-252,-1 1-1,0 0 1,0 0-1,0 0 1,0 0-1,0-1 1,0 1-1,-1 0 1,1 0-1,0 0 0,0-1 1,0 1-1,-1 0 1,1 0-1,-1-1 1,1 1-1,0 0 1,-1-1-1,1 1 1,-2 1-1,2-3-1,-1 1-1,1 0 1,-1-1 0,1 1-1,-1 0 1,1-1-1,-1 1 1,1 0 0,-1-1-1,1 1 1,0-1-1,-1 1 1,1-1 0,0 1-1,-1-1 1,1 1-1,0-1 1,0 1 0,-1-2-1,-13-41 145,4-18 198,-2-66-1,1-2-34,-52-334-34,59 426-276,1 1 0,4-67 0,0 98-3,-1 0 0,1 0 0,0 0 0,1 0 1,-1 0-1,1 0 0,0 0 0,0 1 1,0-1-1,1 1 0,0-1 0,0 1 0,0 0 1,5-6-1,-6 9 1,0-1 0,0 0 0,1 1 0,-1 0 0,0-1 1,1 1-1,-1 0 0,1 0 0,-1 0 0,1 1 0,-1-1 0,1 1 0,-1-1 1,1 1-1,0 0 0,-1 0 0,1 0 0,0 0 0,-1 1 0,1-1 1,-1 1-1,1-1 0,0 1 0,-1 0 0,1 0 0,-1 0 0,0 0 1,4 3-1,5 2 3,-1 2 0,-1-1 0,1 1 1,-2 1-1,1-1 0,-1 2 0,0-1 1,-1 1-1,0 0 0,0 0 1,5 13-1,-2-2-3,0 2 1,-2-1 0,0 1-1,8 42 1,-11-34-34,-1 0 0,0 63 0,-4-83 24,0 0 1,-1 0-1,-1-1 0,0 1 1,0-1-1,-1 1 1,-1-1-1,1 0 1,-2 0-1,1-1 0,-1 1 1,-10 13-1,12-20 14,0 1 0,-1-1 0,1 0 0,-1 0 0,1 0 0,-1-1 0,0 1 0,0-1 0,-1 0 0,1 0 0,0 0 0,-1-1 0,1 0 0,-1 1 0,1-1 0,-7 0 0,-5 0 27,0-1-1,1-1 0,-23-3 1,9 1 35,28 3-63,1 0 0,0-1-1,-1 1 1,1 0-1,0 0 1,-1 0 0,1 0-1,-1 0 1,1 0-1,0 0 1,-1 0 0,1 0-1,-1 0 1,1 0-1,0 0 1,-1 0 0,1 1-1,-1-1 1,1 0 0,0 0-1,-1 0 1,1 0-1,0 1 1,-1-1 0,1 0-1,0 0 1,-1 1-1,1-1 1,0 0 0,0 1-1,-1-1 1,1 0 0,0 1-1,0-1 1,0 0-1,-1 1 1,1-1 0,0 0-1,0 1 1,0-1-1,0 0 1,0 1 0,0-1-1,0 1 1,0-1-1,0 0 1,0 1 0,0-1-1,0 1 1,0-1 0,0 0-1,0 1 1,0-1-1,0 1 1,1 0 0,10 19 36,6-1-39,1 1 0,0-2 0,1-1 0,1 0 1,1-1-1,0-1 0,1-2 0,1 0 0,0-1 0,1-1 1,0-1-1,0-1 0,1-1 0,28 4 0,-1-2-63,57 13-3216,-97-20 2231</inkml:trace>
  <inkml:trace contextRef="#ctx0" brushRef="#br0" timeOffset="2847.72">3626 275 3977,'1'-1'559,"0"-1"1,0 1-1,0 0 0,0-1 1,0 1-1,0-1 0,0 1 1,-1-1-1,1 1 1,0-1-1,-1 0 0,0 1 1,1-1-1,-1 0 0,0-2 1553,1 5-1589,43 208 480,-9-33-982,-11-80-173,49 172 470,-57-221-874,2 0-1,2-1 0,39 66 1,-47-95-1222,-1-8 720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3T16:42:17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1076 0 1960,'0'0'149,"1"0"-1,0 0 0,0 0 0,0 0 1,0 1-1,-1-1 0,1 0 0,0 0 0,0 1 1,0-1-1,-1 1 0,1-1 0,0 0 1,-1 1-1,1 0 0,0-1 0,-1 1 1,1-1-1,0 1 0,-1 0 0,1-1 0,-1 1 1,1 0-1,-1-1 0,0 1 0,1 0 1,-1 0-1,0 0 0,1-1 0,-1 1 1,0 0-1,0 0 0,0 0 0,0 0 0,0-1 1,0 1-1,0 0 0,0 0 0,0 0 1,0 0-1,0 0 0,-1-1 0,1 1 1,-1 1-1,0 1 169,-1 0 0,1-1 0,-1 1 0,0 0 0,0-1 0,0 0-1,0 1 1,-1-1 0,1 0 0,-5 3 0,-85 54 1668,-69 45-1356,-44 26 16,30-22-295,131-77-131,-74 68-1,-12 38 215,111-114-384,2 2 1,0-1-1,1 2 1,-15 35 0,18-27 29,-10 19 38,22-51-115,0-2-3,1 1 1,0-1-1,-1 1 0,1-1 0,0 0 0,-1 1 1,1-1-1,0 1 0,0-1 0,0 1 1,-1-1-1,1 0 0,0 1 0,0-1 0,0 1 1,0-1-1,0 1 0,0-1 0,0 1 1,0-1-1,0 1 0,0-1 0,0 1 0,0-1 1,0 1-1,0-1 0,1 1 0,-1-1 1,0 1-1,0-1 0,0 1 0,1-1 0,-1 1 1,0-1 4,1 0 1,-1-1-1,0 1 1,0 0 0,0 0-1,0-1 1,0 1-1,0 0 1,1 0 0,-1 0-1,0-1 1,0 1-1,0 0 1,1 0-1,-1 0 1,0 0 0,0 0-1,0-1 1,1 1-1,-1 0 1,0 0 0,0 0-1,1 0 1,-1 0-1,0 0 1,0 0 0,1 0-1,-1 0 1,0 0-1,0 0 1,1 0 0,-1 0-1,0 0 1,0 0-1,1 0 1,-1 0-1,0 0 1,0 0 0,1 0-1,-1 1 1,0-1-1,1 0 1,55 2 108,1 2 0,0 2 0,61 16 0,138 47 19,-220-56-110,0 1 1,-1 1-1,-1 2 1,64 43-1,48 46 149,-133-100 119,-7-6-921,-8-4-2866,0 3 2442</inkml:trace>
  <inkml:trace contextRef="#ctx0" brushRef="#br0" timeOffset="570.52">1388 611 2272,'0'0'60,"-1"-1"-1,1 1 0,-1-1 1,1 1-1,-1 0 0,1-1 1,-1 1-1,1 0 0,-1-1 0,1 1 1,-1 0-1,0 0 0,1 0 1,-1 0-1,1-1 0,-1 1 0,0 0 1,1 0-1,-1 0 0,0 0 1,1 0-1,-1 0 0,1 1 1,-1-1-1,0 0 0,1 0 0,-1 0 1,0 1-1,0 0 30,0 0-1,0 0 1,0 0-1,0 0 1,0 0-1,0 1 1,1-1 0,-1 0-1,0 0 1,1 1-1,-1-1 1,0 3-1,-2 8 365,1 0-1,-1 21 1,2-25-263,-1 23 214,2 0 0,0 0 0,2 0 1,11 59-1,-8-70-315,1 0-1,0 0 1,2-1 0,0 0-1,1 0 1,0-1 0,2 0-1,18 23 1,-24-34-66,0-1 0,1 0 1,0 0-1,0 0 0,1-1 0,0 0 0,0 0 0,0-1 0,0 1 1,1-2-1,0 1 0,0-1 0,0 0 0,0-1 0,0 0 1,0 0-1,1-1 0,-1 0 0,0 0 0,1-1 0,-1 0 0,1 0 1,10-3-1,-5 0 67,0 0 0,-1-1 1,1-1-1,-1-1 0,0 1 0,0-2 0,-1 0 1,0 0-1,0-2 0,0 1 0,-1-1 1,-1-1-1,10-10 0,0-3 7,-1-1 1,-1-1-1,-2-1 0,0 0 1,-2-1-1,12-31 0,-7 7 4,-2-1 0,15-82 0,-28 112 33,-1 1-1,0-2 0,-2 1 1,-1 0-1,-3-28 0,1 37 43,0-1-1,-1 1 1,-1 0-1,0 0 1,-1 0-1,0 1 1,-1 0-1,0 0 1,-16-22 0,8 16 21,-2 1 0,0 0 1,-1 1-1,0 1 1,-2 1-1,1 0 1,-2 2-1,-35-18 1,33 19-145,-1 2 1,0 0-1,0 2 0,-1 0 1,0 2-1,0 1 1,-48-3-1,64 7-53,0 0 1,0 0-1,1 1 0,-1 0 0,0 1 1,1 0-1,-1 0 0,1 0 0,0 1 1,0 0-1,0 0 0,-8 6 0,7-3-9,0 1-1,1 0 1,-1 0-1,2 0 1,-1 1-1,1 0 0,0 0 1,-7 15-1,0 1-84,1 0-1,2 1 0,-10 35 0,-14 79-799,31-122 742,-5 20-725,1 1 1,2-1-1,0 62 1,7-70 319,10 41 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3T16:42:19.2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4 290 5201,'-1'-5'417,"0"0"-1,1 0 1,-1 0-1,1 0 1,0 0 0,0 0-1,1 0 1,-1 0-1,1 0 1,0 0 0,0 0-1,1 0 1,0 0-1,0 0 1,0 0 0,4-5-1,-1 2-155,1 0 0,1 1 0,-1 0 0,1 0 0,0 1 0,1 0 0,14-9 0,5-3 134,0 3-1,35-16 1,-47 25-333,0 0 0,0 1-1,1 1 1,0 0 0,0 2 0,19-2-1,-31 4-55,0 0-1,1 0 1,-1 0-1,1 1 0,-1 0 1,0 0-1,0 0 1,0 0-1,1 1 1,-1 0-1,0 0 0,-1 0 1,1 0-1,0 0 1,-1 1-1,1 0 0,-1 0 1,0 0-1,0 0 1,0 0-1,0 0 0,0 1 1,-1 0-1,0-1 1,1 1-1,-1 0 1,-1 0-1,3 5 0,0 3 4,0 1-1,-1 0 0,0 1 1,-1-1-1,-1 0 0,0 1 1,-1-1-1,-1 15 0,-3 9-3,-1 1-1,-2-1 1,-16 45-1,-45 106 21,37-112-16,-26 104 1,46-137-83,4-17-192,-4 33 0,10-56 90,1 0 0,0 1 0,1-1 0,-1 1 0,1-1 0,-1 1 0,1-1 0,0 0 0,0 1 0,0-1 0,1 0 1,-1 0-1,1 0 0,0 0 0,0 0 0,0 0 0,0-1 0,0 1 0,1 0 0,3 2 0,17 12-699</inkml:trace>
  <inkml:trace contextRef="#ctx0" brushRef="#br0" timeOffset="338.89">370 1605 6217,'-23'36'3273,"12"-8"-824,2-7-833,13-4-792,-4-3-272,3-9-336,-3-1-104,3-7-200,-3 2-256,3-7-1600</inkml:trace>
  <inkml:trace contextRef="#ctx0" brushRef="#br0" timeOffset="670.56">922 69 6089,'-1'-1'449,"0"1"0,-1 0 0,1 0 0,0 0 0,-1 0 0,1 0 0,0 0 0,0 1 0,-1-1 0,1 0 0,0 1 0,0-1 0,-1 1 0,1-1 0,0 1 0,0-1 0,-2 2 0,2 1-271,-1 0 1,1 0 0,0 0 0,0 0-1,0 0 1,0 0 0,1 0 0,-1 5-1,-13 191 449,12-129-607,10 583-1015,6-530-1311,-11-87 1504</inkml:trace>
  <inkml:trace contextRef="#ctx0" brushRef="#br0" timeOffset="1015.95">947 1782 6313,'-16'10'3017,"10"-3"-1305,3-10-751,2-7-785,1 0-368,0-9-1153,7 1 929</inkml:trace>
  <inkml:trace contextRef="#ctx0" brushRef="#br0" timeOffset="1382.46">1489 252 4777,'-5'-15'1000,"1"1"0,-3-17 1,7 30-856,0-1 0,1 1 0,-1-1 0,0 1 0,1 0 0,-1-1 0,1 1 0,-1-1 0,1 1-1,-1 0 1,1 0 0,0-1 0,0 1 0,0 0 0,0 0 0,0 0 0,0 0 0,0 0 0,0 0 0,0 0 0,0 0 0,0 0 0,1 0 0,2 0 0,5-6 434,14-16 381,0-1-42,47-38 0,-62 56-865,0 1 0,0 0-1,0 0 1,0 1 0,1 0 0,0 1-1,-1-1 1,1 2 0,1-1-1,-1 1 1,10 0 0,-16 1-46,0 1 0,0 0 1,-1 0-1,1 1 0,0-1 1,0 1-1,0-1 0,-1 1 0,1 0 1,0 0-1,-1 0 0,1 0 0,0 1 1,-1-1-1,0 1 0,1-1 0,-1 1 1,0 0-1,0 0 0,0 0 0,0 0 1,0 0-1,0 1 0,-1-1 1,1 0-1,-1 1 0,0-1 0,1 1 1,0 4-1,1 3 7,0 1-1,0-1 1,-2 1-1,1-1 1,-1 1 0,-1 15-1,-2 10 29,-1 0 0,-16 67-1,-30 70 185,36-129-134,-142 386 801,138-386-902,14-37-9,0 2-24,-1 0 0,1 0 0,1 0 0,-3 16 0,5-24-42,-1 1 0,1 0 0,0 0 0,0 0 0,0 0 0,0 0 0,1-1 0,-1 1 0,0 0 0,1 0 0,0 0 0,-1-1 1,1 1-1,0 0 0,0-1 0,0 1 0,0 0 0,0-1 0,0 1 0,0-1 0,0 0 0,1 1 0,-1-1 0,1 0 0,-1 0 0,1 0 0,-1 0 0,1 0 0,3 1 0,15 6-608</inkml:trace>
  <inkml:trace contextRef="#ctx0" brushRef="#br0" timeOffset="1741.07">1631 1567 6617,'-21'43'3353,"8"-17"-1080,4-13-857,10-4-864,-3-9-272,2-6-232,-8-7-48,8 0 0,6-3-240,4-4-1728,3 6 1424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3T16:42:29.5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100 80 1936,'-63'-37'1327,"38"18"887,22 6 80,3 11-1997,-9-1 5516,21 2-5844,129-1 503,-122 0-431,-1 2 1,0 0-1,1 1 1,-1 1-1,0 0 1,0 2-1,24 6 1,-29-6 9,0-2 1,0 1 0,1-2-1,-1 0 1,0-1-1,1 0 1,-1 0 0,0-2-1,17-3 1,-24 4-47,1 1 1,0 0 0,0 0-1,0 0 1,0 1-1,0 0 1,-1 0 0,8 2-1,-5 0 3,1-2 0,0 1-1,10 0 1,24 4 4,-40-5-11,1 1 1,-1-1-1,1-1 0,-1 1 1,1 0-1,0-1 0,-1 0 1,1 0-1,0-1 1,-1 1-1,1-1 0,0 0 1,-1 0-1,8-4 0,-1 1 2,0-1 0,0 1-1,0 1 1,0 0 0,0 0-1,1 1 1,-1 1 0,19 0-1,21-3 14,3 1-11,-43 1-3,0 1 1,0 0-1,-1 1 1,22 2 0,6 5 6,0-3 1,0-1 0,40-2-1,-37 3-1,-35-3-6,1 0-1,-1 0 0,0-1 1,1 1-1,-1-1 0,8-2 1,-8 2 2,1-1 1,-1 1-1,1 0 1,-1 0-1,1 1 0,-1 0 1,1 0-1,-1 0 1,1 1-1,-1 0 1,0 1-1,0-1 1,11 7-1,-16-9 139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3T16:42:32.4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95 60 1632,'-28'-15'426,"18"9"263,1 1 1,-1 0-1,-16-4 1,25 9-563,1-1 1,-1 1 0,1 0-1,-1 0 1,1 0 0,-1 0-1,1-1 1,-1 1 0,1 0-1,-1 0 1,1-1 0,0 1-1,-1 0 1,1 0 0,-1-1 0,1 1-1,0-1 1,-1 1 0,1 0-1,0-1 1,0 1 0,-1-1-1,1 1 1,0-1 0,0 1-1,0-1 1,-1 1 0,1-1-1,0 1 1,0-1 0,0 1-1,0-1 1,0 1 0,0-1-1,0 1 1,0-1 0,0 0 405,12 1 247,31 4-465,-37-2-283,0-1-1,0-1 0,0 1 1,0-1-1,0 0 0,9-2 1,17 3 413,-28 0-348,0 0 1,0-1-1,0 0 0,1 0 1,-1 0-1,0 0 1,0-1-1,0 0 0,1 1 1,5-3-1,-8 1-60,0 1 0,1 0 1,-1 0-1,0 0 0,1 1 0,-1-1 0,1 1 0,-1-1 0,1 1 1,0 0-1,-1 0 0,1 0 0,3 0 0,34 10 70,-32-7-90,-1-1-1,1 0 1,0 0 0,8 0 0,46 1 257,107-1-128,-36-4-66,-93 3-55,-31-1-18,0 1-1,1-1 0,-1-1 0,0 1 0,10-3 1,-15 2-9,0 1 1,-1-1 0,1 1-1,0 0 1,0 1 0,-1-1-1,1 1 1,0-1 0,0 1-1,-1 0 1,8 4-1,-7-4 2,0 1-1,0-1 1,0 0-1,0 0 0,1 0 1,-1-1-1,0 1 0,1-1 1,6 0-1,95-13 1,-59 9 0,-33 4-4,0 0 1,0 1-1,0 0 1,0 1-1,19 5 1,-20-4 0,0 0 0,0-1 1,0 0-1,0-1 0,1-1 1,19-1-1,36-8 19,-64 9-13,1-1-1,-1 1 1,1 1 0,-1-1-1,0 1 1,1 0 0,-1 0-1,0 0 1,0 1 0,8 3-1,2 0 0,-14-4-12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3T16:42:38.10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1135 140 2216,'-55'-1'1175,"48"2"5496,16 0-5459,25 1-1630,9-8 495,-28 3 44,0 1 0,0 0 0,0 1 0,0 0 0,1 1 0,17 3 0,-15 2-5,0-1-1,1 0 1,-1-2-1,1 0 1,0-1 0,0-1-1,0 0 1,-1-2 0,1 0-1,30-8 1,-34 5-104,0 1 0,0 1 0,0 0-1,16 0 1,-22 3 35,0 0 1,1 1-1,-1 0 0,0 0 1,0 1-1,0 1 0,17 5 1,-18-5-22,0 0 1,0-1 0,0 0 0,0-1-1,0 0 1,0 0 0,12-1 0,4-2 46,28-5 1,-32 4 56,0 0 0,33 0 1,-40 5-106,1 0 0,-1 0 0,14 5 0,29 5-19,-16-11 128,0-1 0,1-3-1,60-10 1,-24 2-46,-4 5-70,102 6-1,-103 3-2,104-11 1,-145 6-10,-1 1 0,53 5 0,7 1 8,32-6 10,104 1 30,-149 5-29,77 1 62,-91-9-83,-5-1 114,0 3 0,95 10 0,-116-6-81,0-2 1,1-1 0,-1-2 0,43-7-1,52-3 35,193-5 116,-198 6-157,-72 5-17,70 1-1,8 8 19,191-21-1,-143-3 10,-141 16-27,0 1 0,71 5 0,-97-1 1,-1-1 0,1 0 0,22-5 0,-25 3 0,0 1 0,1 1 0,-1-1 0,1 2 0,19 1 1,12 3 8,1-2 1,46-5 0,-7 1-5,15-1-7,-52 0-6,86 7 0,-107-2-4,0-2 0,40-4 1,-38 2-2,52 2 1,-45 1-3,0-2 0,39-4 0,-7-1 0,69 10 0,-34 1 0,-53-6 2,-20 0 3,1 1-1,39 6 1,-56-5-5,0 0 0,0-1 1,15-1-1,-17 0 1,0 1 0,0 0 0,0 0 0,0 1 0,16 4 1,120 25 4,-63-14-4,-60-13 0,-1-1 1,1-1 0,0-1 0,29-3 0,33 0 5,43 1-9,-75-1-2,56 5 1,-85-2 4,1-1 1,-1 0 0,0-2-1,30-7 1,-25 4 1,1 2-1,38-1 1,-5 4-4,72-10 1,-102 8-1,0 2-1,61 6 1,-61-3 0,4 3-1,40 9 1,-42-7 1,51 5 0,-14-9-2,120-9 1,54-8 0,-223 13 4,0 0 1,35 5-1,10 0 5,-47-4-8,95-3-10,-105 3 10,1 0-1,-1 1 0,1 1 1,11 2-1,27 4 0,-9-2 2,-34-5-1,0 1-1,0-1 1,0 0-1,0-1 1,0 0 0,1 0-1,-1 0 1,8-2 0,-5 0-2,1 1 0,-1 0 1,1 0-1,-1 1 0,1 1 1,-1 0-1,1 0 0,-1 1 1,1 0-1,-1 1 0,15 6 1,-13-7 0,-1 0 1,1 0 0,-1-2-1,1 1 1,0-1 0,-1-1 0,14-2-1,-6 1 3,-6-2 50,-13 4-49,0-1 0,0 1 0,0 0 1,0-1-1,0 1 0,0 0 0,0-1 0,0 1 1,0 0-1,0-1 0,-1 1 0,1 0 0,0-1 1,0 1-1,0 0 0,-1 0 0,1-1 0,0 1 1,0 0-1,-1 0 0,1-1 0,0 1 0,0 0 0,-1 0 1,1 0-1,0-1 0,-1 1 0,1 0 0,0 0 1,-1 0-1,1 0 0,0 0 0,-1 0 0,0 0 1,-1-1-5,0 0 0,0 0 0,0 1 0,0-1 0,0 1 0,0-1 0,-1 1 0,1 0 0,0 0 0,0 0 0,-3 0 0,-13 0 0,-72-9-2,67 6-5,0 2-1,-25 1 1,20 0 3,-28-3 1,6 0 15,-85 4-1,-17 1-11,-144 1 5,188 1-18,-122 16-34,113-12 48,-50-1 5,84-8-6,-143 17 0,-40 5-39,177-17 31,48-4 3,0-1 1,-53-10-1,-44-1-14,76 10 18,7 0-7,-100 8 1,110-2 3,0-2 0,-74-8 0,66 2 5,-73 5 0,-25 14-25,-119 5 27,-113-35 12,290 10-12,-1 4 1,-111 13 0,102-3 21,-159-8 1,-56-8-31,67 2-3,81-1 21,-260-12-34,374 15 27,-88 6 0,-57 18-32,-65 3 23,-223-18-5,192 2 18,-304 12 20,496-16-29,-54 3 6,-224-1 20,171-7-20,-325-21 70,409 14-38,-31 3 110,-182 18 0,201-4-34,-92 8-128,215-15-59,-22 3 123,37-5-138,0 0 0,0 0 0,0 0 1,0 0-1,0 0 0,0-1 0,0 1 1,0 0-1,0-1 0,0 0 0,0 1 1,0-1-1,1 0 0,-3-1 0,1-5-1021,7-3 460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3T16:42:40.7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112 97 2553,'-7'0'1005,"0"0"-467,1 0-1,0 0 1,0 0 0,-1-1 0,1 0-1,0 0 1,0-1 0,-9-3 0,14 5-471,0-1 0,1 1 0,-1-1 0,0 1 1,0-1-1,1 1 0,-1 0 0,0 0 0,0-1 0,0 1 1,1 0-1,-1 0 0,0 0 0,0 0 0,0 0 0,0 0 1,1 0-1,-1 0 0,0 0 0,0 0 0,0 1 1,1-1-1,-1 0 0,0 0 0,0 1 0,1-1 0,-1 1 1,0-1-1,0 0 0,1 1 0,-1 0 0,0-1 0,1 1 1,-1-1-1,1 1 0,-1 0 0,1-1 0,-1 1 0,1 0 1,-1 0-1,0 0 27,1 1 1,-1-1-1,0 0 0,1 0 1,-1 0-1,1 1 1,-1-1-1,1 0 0,0 1 1,0-1-1,-1 0 1,1 1-1,0-1 0,0 0 1,0 1-1,0-1 1,1 0-1,-1 1 0,0-1 1,0 0-1,1 1 1,0 1-1,1-1-53,-1 0-1,1 0 1,-1 0 0,1 0 0,0 0-1,0 0 1,0-1 0,0 1 0,0-1-1,0 1 1,3 0 0,4 2-56,-1 0 0,1-1 0,0 0 0,0-1 0,10 2 0,-7-3 26,1-1 0,-1 0 0,1-1 0,14-2 1,18-1 45,37 8 53,16-1 32,129 7 569,-5 0-591,-155-10-17,-45 2-33,1-2-1,-1-1 1,1 0-1,23-6 1,18-5-10,-41 9-52,-1-1 0,27-9 0,-15 1 5,0 1-1,55-9 1,-85 20-10,-1 0 0,1 0-1,-1 1 1,1-1 0,-1 1-1,7 1 1,1 5 49,-10-6-46,-1-1 0,0 0 0,0 1 0,0-1-1,0 0 1,0 1 0,0-1 0,0 0 0,0 1 0,0-1-1,0 0 1,0 1 0,0-1 0,0 0 0,0 1-1,0-1 1,0 0 0,0 1 0,0-1 0,0 0 0,-1 1-1,1-1 1,0 0 0,0 1 0,0-1 0,-1 0 0,1 1-1,0-1 1,0 0 0,-1 0 0,1 1 0,-2-1 13,1 1-1,0-1 1,-1 0 0,1 0 0,0 0 0,-1 0 0,1 0 0,0 0 0,-1 0-1,1 0 1,0 0 0,0-1 0,-2 1 0,0-1-3,-106-24 8,36 7 6,26 7 2,-2 3 0,-78-5 0,-8 6 11,-27 0-15,136 7-27,-11-1 1,-1 1-1,0 3 1,0 1 0,-47 11-1,66-9-1,-1-1 0,1-1 0,-1 0 0,0-1 0,0-2 0,-33 0 0,12-3-7,33 3 3,0-1 0,0 0 0,0 0 0,0-1 0,0 0 0,0-1 0,0 0 0,1 0 0,-1 0-1,0-1 1,-8-4 0,5-1-1,-1 2-1,0-1 0,-1 2 0,1-1 1,-22-4-1,26 5-73,15 1-68,19-3 73,0 5 70,1 0 1,-1 2-1,0 1 1,43 7-1,-29 2 22,0 3 0,-1 1 0,56 28 0,-51-21 59,87 28 1,-77-38-8,0-1 0,0-3 0,1-3 0,0-2 0,58-5 0,55-10-11,-147 12-53,-17 0-3,0 0 1,1 1-1,-1-1 1,1 1-1,-1 1 1,1-1-1,-1 0 0,1 1 1,-1 0-1,1 0 1,-1 0-1,0 1 1,0 0-1,0-1 1,8 6-1,-12-7-23,2 2-90,0-1 0,0 1-1,0-1 1,0 1 0,0-1 0,0 0 0,0 0-1,0 0 1,0 0 0,1-1 0,-1 1 0,0 0-1,4-1 1,-4-2-326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2-17T09:11:25.4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339 5526 2024,'36'101'1082,"-24"-82"9454,-11-23-9890,6-70-506,-3-120-1,0 93 121,0 0 67,-4-117-100,6-41-213,-11 105 40,1 92-44,5-115-11,-1-14 17,2 94-23,0 7 9,-5-89 62,2 80-27,1 30-21,0 5-15,9-73 1,-2 53-4,4-32 20,-8 82 9,-2-1-1,-5-54 1,2 42-14,-1-19-13,0-173-45,9 28 47,2-34-60,10-314 216,-18 539-158,-7-96 46,3 70-10,2-71 1,1-151 43,1 120-100,1 16 1,-9 44 24,4 47-3,1-46 1,3 53 2,-1 1 0,-9-55 1,4 38-9,2-2 0,3-56 1,2 54-1,3 3 0,-3 38 10,0-2 0,0-17-1,-1 22 5,-2 9 13,-3 2-51,5-2 36,0 1-1,0 0 1,0 0-1,0 0 1,-1-1-1,1 1 0,0 0 1,0 0-1,0 0 1,0-1-1,-1 1 1,1 0-1,0 0 0,0 0 1,-1 0-1,1-1 1,0 1-1,0 0 1,0 0-1,-1 0 0,1 0 1,0 0-1,0 0 1,-1 0-1,1 0 1,0 0-1,0 0 0,-1 0 1,1 0-1,0 0 1,0 0-1,-1 0 1,1 0-1,0 0 0,0 0 1,-1 0-1,1 0 1,0 1-1,0-1 1,-1 0-1,1 0 0,0 0 1,0 0-1,0 0 1,0 1-1,-1-1 1,1 0-1,0 0 0,0 1 1,-18 55 66,-16 15-34,-28 64 52,-2 14-70,15-42-4,42-94-12,0-1 0,0 0 0,-1-1 1,-19 21-1,-3 6 38,3-6 16,26-30-58,0-1 0,-1 0-1,1 1 1,0-2 0,-1 2-1,1-1 1,-1 1 0,1-1-1,-1-1 1,-3 3 0,4-1-2,0-1 1,-1 0-1,1-1 1,0 3-1,0-2 1,0 0-1,0 0 1,0 0-1,0 1 1,-1-1-1,2 0 0,-1 0 1,0-1-1,1 2 1,-1-1-1,0 0 1,0 2-1,-3 10 10,4-12-11,-1 0 1,1 1-1,-1-1 0,1 0 1,0 1-1,0-1 1,-1 0-1,1 1 1,0-1-1,0 0 0,0 0 1,0 0-1,1 1 1,-1-1-1,1 1 1,-1-1-1,0-1 0,0 0-1,1 0 1,-1 1 0,0-1 0,0 0 0,0 0 0,0 0 0,0 1 0,0-1 0,1 0 0,-1 1 0,0-1 0,0 0 0,0 0 0,0 1 0,0-1 0,0 0 0,0 0 0,0 1 0,0-1 0,0 0 0,0 2 0,-1-2 0,1 0 0,0 0 0,0 1 0,0-1-1,0 0 1,0 0 0,0 1 0,0-1 0,-1 0 0,1 0 0,0 0 0,0 1 0,0-1 0,-1 0 0,1 0 0,0 0 0,0 0 0,0 0 0,-1 0 0,1 0 0,0 0 0,0 0 0,-1 0 0,1 0 0,0 0 0,0 0 0,-1 0 0,1 0 0,0 0 0,-1 0-1,1 0 1,0 0 0,0 0 0,-1 0 0,1 0 0,0 0 0,-1 0 0,1 0-1,0 0 0,-1 0 1,1 0-1,0 0 0,-1 0 0,1 0 0,0 0 1,-1 0-1,1 0 0,0 0 0,-1 0 0,1-1 0,0 1 1,-1 0-1,1 0 0,0 0 0,0-1 0,0 1 0,-1 0 1,1-1-1,0 1 0,0 0 0,0 0 0,-1-2 0,1 2 1,0 0-1,0-1 0,0 1 0,0 0 0,0-1 0,0 1 1,0 0-1,0-1 0,8-14 2,-2 10 12,-5 4-11,1 0 1,-1 0-1,0 0 1,0 0 0,0 0-1,0 0 1,0 1-1,0-1 1,-1 0-1,2-1 1,-2 1-1,2-2 1,3-5 8,-1 0 1,0-4-1,0 5 1,-1-2-1,0 0 1,0 0-1,-1 0 1,0-1-1,-1 1 1,0-12-1,0 12-6,0-1 1,1 0-1,0 0 0,1 0 0,0 2 0,-1-2 1,3 1-1,7-16 0,-4 11 0,10-32-1,-13 29-1,1 4-1,1-4 0,13-18 0,11-25-1,-16 25 2,25-34 1,-24 41-2,-7 11-1,1 1 0,0 2 0,1-3 1,1 4-1,0-1 0,25-23 0,-17 18 9,-17 17-7,0-2 0,0 1 0,0-1 0,0 2 1,1-1-1,5-4 0,6-6 18,-13 11-15,-2-1 0,2 2 0,-1 0 0,0-1-1,1 2 1,-1-1 0,0 0 0,1-1 0,-1 1-1,1 0 1,0 1 0,-1 0 0,4-2 0,-2 1 30,0-1 1,0 1 0,1 0 0,-1 1-1,1-1 1,-1 1 0,0-1 0,1 1-1,-1 0 1,1 0 0,-1 0 0,1 1-1,-1 0 1,0-1 0,1 1 0,-1 0-1,0 0 1,0 1 0,6 2 0,-6-3-36,-1 0 0,0 0 1,0 0-1,1 0 0,-1 0 1,0 1-1,-1 1 0,1-1 1,0 0-1,0-1 0,-1 0 1,3 5-1,8 9 0,124 148 22,-131-156-20,0 0 0,0 2 1,-1-4-1,5 16 0,-5-9 1,0-3-1,1-1 1,9 13 0,-7-12-2,-1 0 0,0-1 1,0-1-1,-1 3 1,0-1-1,-1 0 0,0 0 1,0 2-1,-1-2 1,3 16-1,-4-19 0,-1 0 0,1 2 0,0-2 0,1-1 0,0 1 0,0-2-1,0 2 1,5 8 0,6 9 12,-16-21 33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2-17T09:11:27.2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79 37 4337,'-1'-1'116,"1"1"1,0 0 0,-1-1-1,1 1 1,-1 0-1,1 0 1,0-1-1,-1 1 1,1 0-1,-1 0 1,1 0 0,-1 0-1,1 0 1,-1 0-1,1 0 1,-1 0-1,1 0 1,-1 0-1,1 0 1,0 0 0,-1 0-1,1 0 1,-1 0-1,1 0 1,-1 1-1,1-1 1,-1 0-1,1 0 1,0 1 0,-1-1-1,1 0 1,-1 1-1,1-1 1,0 0-1,-1 1 1,1-1-1,0 0 1,0 1 0,-1-1-1,1 1 1,0-1-1,0 2 1,-1-2-1,1 0 1,0 1 0,0 0-1,-13 27-700,12-21 951,-3 1-326,1 3 1,0-1-1,1-1 0,0 2 1,1-2-1,0 2 0,0 0 1,2 18-1,8 40 596,-4 1 0,-3-3 0,-2 2-1,-4-1 1,-19 106 0,16-156-444,2-9-78,5-9-112,0 0-1,0 0 1,0 0-1,0 0 1,-1 0-1,1 1 0,0-1 1,0 0-1,0 0 1,0 0-1,0 0 1,0 0-1,0 0 0,0 0 1,0 0-1,-1 0 1,1 0-1,0 0 1,0 0-1,0 0 0,0 0 1,0 0-1,0 0 1,0 0-1,-1 0 1,1 0-1,0 0 1,0 0-1,0 0 0,0 0 1,0 0-1,0 0 1,0 0-1,0 0 1,-1 0-1,1 0 0,0 0 1,0 0-1,0-1 1,0 1-1,0 0 1,0 0-1,0 0 0,0 0 1,0 0-1,0 0 1,0 0-1,0 0 1,-1 0-1,1-1 1,0 1-1,0 0 0,0-4 22,-1 2 0,1 0 0,0-1 0,0 0-1,0 0 1,0 1 0,0 0 0,0-1 0,2-5 0,1-11 15,0-146 202,-2 28-25,-6 11-29,-1 17 96,7 99-218,0-2 0,1 2 1,0-2-1,0 2 0,1 1 1,1-3-1,0 2 0,0 0 1,8-12-1,-10 20-62,0 0-1,-1 0 0,1 1 1,0-1-1,0-1 1,0 1-1,0 0 1,0 1-1,0 0 1,0 0-1,0 0 1,1 1-1,-1-1 0,1 0 1,-1 1-1,0-1 1,1 1-1,2-1 1,7 0-9,1 0 1,17 2 0,-18-1 3,0 0 2,0 1-1,1 0 0,-1 1 0,0 0 0,0-1 0,0 3 0,22 11 1,-31-15-1,0 2 0,1 0 0,-2-1 1,1 1-1,0 0 0,0 1 0,-1 0 1,1-1-1,-1 1 0,0 0 0,1 0 1,-1 0-1,-1-1 0,1 1 0,0-1 1,-1 2-1,1-1 0,-1 1 0,0 0 1,0-1-1,-1 0 0,1 0 0,-1 1 1,1-1-1,-1 1 0,0-1 0,-1 1 1,1 0-1,0-1 0,-1 1 0,-1 2 1,-1 6 9,-1-1-1,0-1 1,0 0 0,-1 0 0,0 1 0,-1-2-1,0 0 1,0 0 0,-1 0 0,-9 9-1,11-13-2,1 0-1,-1-2 0,0 1 0,0 2 0,-1-3 0,1 0 0,-1 1 0,0-1 0,0-2 0,0 1 0,0 1 1,0-1-1,0-1 0,-1 1 0,1-1 0,0 0 0,-1-1 0,-12 0 0,9-4-227</inkml:trace>
  <inkml:trace contextRef="#ctx0" brushRef="#br0" timeOffset="658.81">453 243 1752,'0'126'1581,"2"-85"1191,10 60 0,-7-67-1397,-4-30-1165,0 2 0,0-2 0,1 2 1,0 0-1,4 6 0,-5-11-159,0 2-1,0-1 0,1 1 0,-1-1 0,1 0 0,0-1 0,-1 1 0,1 0 1,0 0-1,0 0 0,0-1 0,0 1 0,0-1 0,4 1 0,-5-2-21,0 0-1,1 0 0,-1 0 1,1 0-1,-1 0 0,0-1 1,1 1-1,-1 0 0,0-1 0,1 1 1,-1 0-1,0-1 0,0 1 1,0-1-1,1 0 0,-1 0 1,0 0-1,0 0 0,0 0 1,0 0-1,0 0 0,0 0 1,1-2-1,19-28 506,-12 12-386,-1 0-1,0-1 1,-2 2-1,0-3 1,-1 2 0,-1 0-1,-1-3 1,0 2 0,-2-2-1,-1 3 1,0-1 0,-2-2-1,0 1 1,-1 2-1,-1-2 1,-12-34 0,14 52-99,1 1 1,-1-2-1,1 0 0,-1 1 1,0 0-1,0 0 0,-1-1 1,1 1-1,-1 1 1,1 0-1,-1-1 0,0 0 1,0 1-1,0 1 1,0-2-1,-5-1 0,5 3-32,0-1 0,0 1-1,1 1 1,-1-1-1,0 1 1,0 0 0,0 0-1,1 0 1,-1 0-1,0 0 1,0 1 0,0-1-1,1 1 1,-1 1-1,0-1 1,1 0 0,-1 0-1,1 0 1,-1 1 0,1-1-1,-1 1 1,-3 2-1,-2 3-64,0 0-1,1 1 0,-1 1 0,1-2 0,1 1 0,0 2 1,0-1-1,1-1 0,0 4 0,0-4 0,-5 20 0,0 8-520,-12 72-1,18-81 307,2-19 48,1-2 0,0 2 1,1-3-1,0 3 0,0-1 1,0-1-1,3 13 0,7 1-342</inkml:trace>
  <inkml:trace contextRef="#ctx0" brushRef="#br0" timeOffset="1201.31">932 94 4793,'9'-5'3429,"-14"7"69,3 5-1468,2-4-1994,2 35 414,0 104 489,-4-41-572,-10 113-204,11-188-167,1-25-39,0 0 0,0 0 0,0 1 0,0-1 0,0 1 0,0-1 1,0 0-1,1 0 0,-1 0 0,0 0 0,1-1 0,-1 1 0,1 1 0,-1-1 0,1 0 0,0 0 0,0 1 1,0-2-19,-1 0 0,0 0 0,1 0 0,-1 0 0,0 0 1,1 0-1,-1-1 0,0 1 0,1 0 0,-1 0 1,0 0-1,0-1 0,1 1 0,-1 0 0,0 0 0,0-1 1,1 1-1,-1 0 0,0 0 0,0-1 0,0 1 0,1 0 1,-1-1-1,0 1 0,0 0 0,0-1 0,0 1 1,0 0-1,0-1 0,0 1 0,0 0 0,0-1 0,0 1 1,0 0-1,0 0 0,0 0 0,0-1 0,0 1 1,0 0-1,0-1 0,0 1 0,-1-1 0,3-16-802</inkml:trace>
  <inkml:trace contextRef="#ctx0" brushRef="#br0" timeOffset="1602.21">769 141 2737,'-19'-11'1403,"-2"-11"11975,120 20-11723,-98 2-1639,23-2 145,37-8 1,-44 5-145,1 2 1,35-1-1,3 6-10,-34-1-88,1 0 0,-1-1 0,36-4 0,-48 3-386,0 0 1,1 1 0,-1 0-1,0 1 1,14 1 0,20 0-4747,-25-4 3347</inkml:trace>
  <inkml:trace contextRef="#ctx0" brushRef="#br0" timeOffset="2081.21">1329 96 5713,'0'0'6799,"0"2"-5928,3 18-436,0 2-1,-2-1 1,-1 2 0,-4 36 0,-3 4-127,2 69 0,5-113-235,1 1 0,1-1 0,1 1-1,1-3 1,0 3 0,2-1 0,15 34 0,-19-48-60,0-2 1,0-1 0,1 1-1,-1 0 1,1 0 0,0 1 0,0-3-1,0 2 1,0-1 0,1 1 0,-1-1-1,0 0 1,1 0 0,0-1-1,-1 1 1,1-1 0,0 0 0,0 0-1,0-1 1,0 1 0,0 0-1,5-1 1,3 0-10,1 0-1,-1 0 1,0-2 0,1 0-1,23-4 1,-23 1-96,-1 0 0,0 2 0,24-15 0,-32 14-206,1 2 0,-1 0 0,0-3 0,0 2 0,0 0 0,0 0 0,-1-1 0,1 0 1,-1 0-1,0 1 0,0-3 0,4-6 0,-5-9-663</inkml:trace>
  <inkml:trace contextRef="#ctx0" brushRef="#br0" timeOffset="2459.21">1461 156 3393,'-81'-38'2495,"62"31"5997,21 1-6446,0 5-1989,0 0 0,0 0 0,0 0 0,0 1 0,0-1 0,0 1-1,0-1 1,0 1 0,0-1 0,3 1 0,1 0 27,45-8 76,214-26-424,-232 29-1762,-23 3-1410,-6 2 1772</inkml:trace>
  <inkml:trace contextRef="#ctx0" brushRef="#br0" timeOffset="2844.13">1256 344 4297,'-16'6'2520,"11"7"-207,3-9-465,4 2-535,8-3 1559,19-5-2280,47-1-88,-38-3-183,-2-4-81,2 6-128,0 0-64,-8-5-272,-1 11-281,-7-5-943,1 4-808,3 6 1383</inkml:trace>
  <inkml:trace contextRef="#ctx0" brushRef="#br0" timeOffset="3435.86">1760 529 3953,'2'16'881,"0"-2"1,5 20-1,-7-34-834,0 0-1,0 1 0,0-1 0,0 0 0,1 1 0,-1-1 0,0 0 1,0 0-1,0 1 0,0-1 0,0 0 0,0 0 0,1 0 1,-1 0-1,0 0 0,0 0 0,0 0 0,1 0 0,-1 0 0,0 0 1,0 0-1,1 1 0,-1-1 0,0 0 0,0 0 0,1 0 0,-1 0 1,0 0-1,0 0 0,1 0 0,-1 0 0,0 0 0,1 0 1,-1 0-1,0 0 0,0 0 0,1 0 0,-1 0 0,1 0 0,9-10 1540,3-19 445,43-150 1011,-40 131-2765,0-1 26,2 4-1,25-50 0,-42 93-297,-1 1-1,1-2 0,0 2 1,-1 0-1,1 1 1,0-1-1,0 0 1,0-1-1,0 1 0,0 0 1,0 0-1,0 0 1,0 0-1,0 0 0,0-1 1,1 2-1,-1 0 1,0-1-1,1 0 1,-1 1-1,0-1 0,3 0 1,-3 2-5,0-1 1,0 1-1,1-1 1,-1 0-1,0 1 1,0 0-1,0-1 1,0 0-1,0 2 1,0-1-1,0-1 1,0 1-1,0 0 1,0 0-1,0 0 1,-1 0-1,1 0 1,0 1 0,0-1-1,5 11-39,-1-1 0,-1 0 0,6 21-1,-9-29 26,96 403-3261,-93-396 3191,-4-10 121,1 0 0,-1 0 0,0 0 0,1-2 0,-1 2 0,1 0 0,-1-1 1,1 1-1,-1 0 0,0-1 0,1 1 0,-1 0 0,0-1 0,1 1 0,-1-1 1,0 1-1,0 0 0,1 0 0,-1 0 0,0-1 0,0 1 0,0-1 0,0 1 0,1-1 1,-1 1-1,0-1 0,0 1 0,26-57 647,-16 37-490,-1 2 0,-1-2-1,6-22 1,0 0 314,36-72-1,0 1-255,-35 82-345,-15 31-18,1 0-1,-1-2 1,0 1-1,1 1 0,-1-1 1,1 1-1,-1 0 1,1-1-1,-1 0 1,1 1-1,-1-1 0,1 1 1,0-1-1,-1 1 1,1 0-1,0-1 1,-1 1-1,1 0 1,0-1-1,-1 1 0,1 0 1,0 0-1,0 0 1,-1-1-1,1 1 1,0 0-1,0 0 1,0 0-1,-1 0 0,1 1 1,0-1-1,0 0 1,-1 0-1,1 0 1,1 1-1,0 4-1274</inkml:trace>
  <inkml:trace contextRef="#ctx0" brushRef="#br0" timeOffset="3982.98">2599 118 4065,'42'-32'2466,"-48"54"2565,-6 30-3594,4 15-1023,3 2 0,6 116-1,4-100-193,-1-16-3215,-2-84 1048,-1-2 855</inkml:trace>
  <inkml:trace contextRef="#ctx0" brushRef="#br0" timeOffset="4359.64">2396 100 4305,'0'8'1714,"0"-7"-1392,0-1 0,-1 0 0,1 0-1,0 1 1,0 0 0,0-1 0,0 1-1,0-1 1,0 1 0,0 0 0,1-1-1,-1 1 1,0-1 0,0 1 0,0-1-1,1 0 1,-1 1 0,0-1 0,0 1-1,1-1 1,0 1 0,19-1 2283,-14 0-3177,168-28 2872,-109 16-2170,86-8 1,-143 19-686,-1 2 0,1-1 0,0 1 1,-1 0-1,1 0 0,-1 1 0,1 0 0,8 5 1,-1 1-895</inkml:trace>
  <inkml:trace contextRef="#ctx0" brushRef="#br0" timeOffset="4729.09">2944 40 4505,'63'-9'2662,"-62"8"-2519,1 1-1,-1 0 1,0 0 0,0 0 0,0 0-1,1 0 1,-1 0 0,0 1 0,0-1-1,0 0 1,0 1 0,1-1 0,-1 0-1,0 0 1,0 1 0,0-1 0,0 1-1,0 0 1,0-1 0,0 1 0,0 0-1,-1 0 1,1 0 0,0 0 0,0 1-1,-1-1 1,1 0 0,0-1 0,-1 0-1,1 1 1,-1 1 0,1-1 0,-1 2-1,1 1 32,0-1 0,-1 1-1,1 0 1,-1 0 0,0 0-1,-1 1 1,0 1 0,-20 181 1746,12-94-1673,-26 118 1,34-207-250,-17 82 9,17-77-21,0 1-1,0 0 1,1-1 0,1 1 0,-1 0-1,4 15 1,-4-24-30,1-1-1,-1 1 1,0 1 0,0-1-1,0 1 1,1-1 0,-1-1-1,1 1 1,-1 0-1,0 0 1,1 0 0,0 0-1,-1 0 1,1-1 0,-1 0-1,1 1 1,0 0 0,0 0-1,-1-1 1,1 1 0,0 0-1,2 0 1,-2-1-62,0 0-1,0-1 1,0 1 0,0 0 0,-1-1-1,1 1 1,0-1 0,0 1 0,0-1 0,0 1-1,0-1 1,-1 1 0,1-1 0,0 1-1,0-1 1,-1 1 0,1-1 0,0 0 0,-1 0-1,1 0 1,-1 0 0,1 0 0,9-19-791</inkml:trace>
  <inkml:trace contextRef="#ctx0" brushRef="#br0" timeOffset="5128.3">3079 667 5297,'12'2'793,"-11"-2"-654,1 1 0,-1-1 0,1 1-1,0-1 1,-1 0 0,1 0 0,0 0 0,-1 0-1,1 0 1,0 0 0,-1 0 0,1 0 0,-1-1-1,1 1 1,0-1 0,-1 1 0,1-1 0,-1 1-1,1-1 1,-1 1 0,1-1 0,-1 0 0,0 0-1,0 0 1,1 0 0,-1 0 0,0-1 0,1 0-1,28-35 2681,-19 23-2148,0 0 1,-1 0-1,16-31 0,18-64 990,-25 59-1103,32-59 0,14 3-305,-55 93-238,-1 1 1,2-1-1,0 2 0,0-1 1,25-16-1,-35 26-12,0 1 0,1 0 0,-1 0 0,0 0 0,1 0 0,-1 1-1,1-1 1,-1 1 0,1 0 0,-1-1 0,1 1 0,-1 0 0,1 0 0,0-1 0,-1 1-1,3 1 1,-2-1 0,-1 1-1,0-1 0,0 0 0,0 1 1,0 0-1,0-1 0,0 1 1,0 0-1,0 0 0,0 0 0,-1 1 1,1-2-1,0 1 0,0 1 0,-1-1 1,1 0-1,-1 0 0,1 1 1,-1 0-1,1-1 0,-1-1 0,0 3 1,8 31-56,-3 1 1,0-1-1,-1 56 1,-2-25-137,1-18 46,1 12-281,-2 0 0,-9 80 0,7-136 378,-5 28-182,4-29 170,1 0 0,0-1 0,-1 0 0,0 0 0,1 1 0,-1 1 0,0-1 0,0-1 0,0 1 0,0 0 0,0-2 0,-2 4 0,2-6-298,-1-1 0,1-1 0,0 1 0,1-2-1,-1 3 1,1-1 0,-1-1 0,1-6 0,0 6-75,-13-64-3898,3 29 3014</inkml:trace>
  <inkml:trace contextRef="#ctx0" brushRef="#br0" timeOffset="5491.18">3440 478 5025,'-84'-62'4585,"87"64"-2817,11-1-415,0 7-105,6-8-280,2 0-152,4 3-256,5 0-127,4 2-241,-1 0-80,4-5-200,-5 0-208,-1-3-881,-4-3-871,-4-4 1256</inkml:trace>
  <inkml:trace contextRef="#ctx0" brushRef="#br0" timeOffset="5823.17">3798 182 4825,'26'-85'2659,"-17"71"-986,-9 14-1624,0 0 1,0 0-1,0 0 1,0-1-1,0 1 1,1 0 0,-1 0-1,0 0 1,0 0-1,0 0 1,0 0-1,0 0 1,0 0-1,1 0 1,-1 0-1,0 0 1,0 0-1,0 0 1,0 0-1,0 0 1,0 0 0,1 0-1,-1 0 1,0 0-1,0 0 1,0 0-1,0 0 1,0 0-1,0 0 1,1 0-1,-1 0 1,0 1-1,0-1 1,0 0-1,0 0 1,0 0-1,0 0 1,0 0 0,0 0-1,0 0 1,1 0-1,-1 1 1,0-1-1,0 0 1,0 0-1,0 0 35,0 0 1,0 0-1,1 1 0,-1-1 0,0 0 1,0 1-1,0-1 0,0 0 0,0 1 1,0-1-1,0 1 0,0-1 0,0 0 0,0 1 1,0-1-1,0 1 0,0-1 0,0 0 1,0 1-1,0-1 0,0 1 0,-1-1 1,1 0-1,0 1 0,0-1 0,0 0 0,-1 1 1,1-1-1,0 0 0,0 0 0,-1 1 1,1-1-1,-1 1 0,1 1-5,-1 0 1,0 0-1,1 1 0,-1 1 0,1-2 1,0 0-1,0 1 0,0 3 0,0-1-4,-11 125 407,-2-7-227,3-20 32,9-94-224,1-1 0,0 2-1,0-1 1,1-1 0,0 1 0,0 0-1,1 0 1,4 13 0,-5-21-52,0 0 0,0-1 0,-1 1 1,1 0-1,0-1 0,0 1 0,0 0 0,0-1 1,0 1-1,0-1 0,0 1 0,0-1 1,0 0-1,0 0 0,0 0 0,0 1 1,0-1-1,0 0 0,0 0 0,1 0 1,-1 0-1,0 0 0,0 0 0,0 0 1,0 0-1,0 0 0,0-1 0,2 1 0,37-12 84,-29 9-78,-4-1-30,1 2 0,0-1 0,0 2 0,0 1 0,0-1 0,0 1 0,1 0 0,15 1 0,-4 4-769,0 2 0,26 6 0,-28-8 215</inkml:trace>
  <inkml:trace contextRef="#ctx0" brushRef="#br0" timeOffset="7199.33">1332 1043 3361,'-4'1'677,"0"0"-1,0 0 1,0 1 0,0 0 0,0 0-1,0 0 1,1 2 0,-1-4 0,1 4 0,-7 5-1,4-4-138,0 1-1,0 2 0,1-2 0,-8 12 0,-7 16 67,2 1 0,-21 59 0,35-82-573,0-1-1,1 2 0,0-1 0,1 1 1,1-2-1,0 1 0,0 1 0,2-2 1,-1 2-1,1-1 0,1 0 0,5 18 1,-6-26-25,1 1 0,0 0 0,0-2 0,0 2 0,1-1 0,-1-1 0,1 0 0,0 2 0,0-1 1,0-2-1,1 3 0,-1-2 0,1-1 0,7 5 0,-5-3 5,0 0 0,1-3 0,-1 1 1,1 1-1,0-1 0,-1 0 0,1-1 0,0 0 0,9 0 1,1-2 23,0 0 0,0-1 0,0 0 0,0-3-1,0 3 1,-1-4 0,24-8 0,-21 6 22,0-1-1,-1-1 0,0 1 0,0-3 0,18-15 0,-29 21-29,0 0-1,-1-1 1,0 1 0,0-2 0,-1 1-1,0 0 1,0-1 0,0 0 0,-1-1-1,-1 1 1,1 1 0,-1-4 0,3-14-1,-3 9 15,0-3 1,-1 3-1,-1-2 0,-1 0 0,-4-31 0,3 42-27,-1-4 0,0 4 0,-1-2 0,0 2 0,0-2-1,-1 1 1,0 0 0,-1 2 0,1-3 0,-1 1 0,-1 2 0,0-1 0,-8-9 0,7 11-1,0 0 1,0 0 0,0-2 0,-1 2-1,1 2 1,-1-2 0,0 1 0,-17-4-1,20 6-17,-1 1-1,1-1 1,-1 1-1,1 0 1,-1 1-1,1 0 1,-1 0-1,0 0 1,1 1-1,-1 0 1,1 1-1,0-1 0,-1 1 1,1 1-1,0-1 1,-6 2-1,2 1-68,1 1-1,0-1 0,0 3 1,1-1-1,-1-2 0,2 3 1,-1 0-1,1 1 0,0-3 1,1 3-1,0 1 1,-5 10-1,2-3-451,1 0 0,1 2 0,0-1 0,2 0 0,-4 32 0,6 6-495</inkml:trace>
  <inkml:trace contextRef="#ctx0" brushRef="#br0" timeOffset="7648.3">1953 943 3873,'-11'3'6309,"4"7"-3462,1 22-1928,5-27-825,-2 13 102,0 7 222,-1 35 1,5 6-82,17 98 0,1 50-300,-19-213-50,0 0-36,1 1 1,-1-1-1,0 0 1,0 1-1,-1-1 1,1 3-1,0-3 0,0 1 1,-1-1-1,1 0 1,-1 0-1,1 0 1,-1 0-1,-1 2 1</inkml:trace>
  <inkml:trace contextRef="#ctx0" brushRef="#br0" timeOffset="8026.75">1899 1109 7050,'-37'-75'3044,"37"74"-2950,0 1-1,0 0 0,0 0 1,1-1-1,-1 1 1,0-1-1,0 1 1,0-2-1,0 2 1,0-2-1,1 2 0,-1-1 1,0 1-1,0 0 1,1-1-1,-1 1 1,0-1-1,0 1 1,1 0-1,-1-1 0,1 1 1,-1 0-1,0-1 1,1 1-1,-1 0 1,1 0-1,-1 0 1,0 0-1,1 0 0,-1 0 1,1 0-1,-1 0 1,1 0-1,-1 0 1,1 0-1,0 0 1,27-5 1511,-11 1-1024,46-16 647,-23 7-805,2 1 1,70-13-1,-55 17-592,0-1 0,65-20 0,-118 28-159,1 0-1,-1 0 1,1 0-1,-1 1 1,1 0-1,0 0 1,-1 0-1,1 1 1,-1 0-1,1 0 1,-1 0-1,7 2 1,-1 1-744</inkml:trace>
  <inkml:trace contextRef="#ctx0" brushRef="#br0" timeOffset="8372.4">1849 1268 6041,'7'4'2889,"9"-1"-1009,9-3-223,10 0-385,-1-3-112,7 1-280,7-2-143,5 1-289,3 0-120,-2-2-184,-1 1-64,-10 2-192,-4 1-224,-14 1-1017,-7-2-1495,3 5 1816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2-17T09:11:36.5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57 195 3577,'-35'-89'2371,"35"88"-2153,0 0 0,-1 0 1,1 0-1,0 0 0,-1 0 0,1 1 0,-1-2 1,1 1-1,-1 0 0,0 0 0,1 0 1,-1 1-1,0-1 0,0 1 0,0-2 0,-4 7 1035,1-1 1107,4-1-2221,-1 0 1,0-1-1,1 0 0,0 0 1,-1 0-1,1 2 0,0-2 1,0 4-1,0-1 2,0 28 212,0 297 1413,0-77-2001,0-252 134,-1 15-499,2-16 549,-1 0 0,0-1-1,0 1 1,0 0 0,0 0 0,0 0-1,0 0 1,0 0 0,1 0 0,-1 0-1,0 0 1,0 0 0,0 0 0,0 0-1,0 0 1,1 0 0,-1 0 0,0 0-1,0 0 1,0 0 0,0 0 0,1 0-1,-1 0 1,0 0 0,0 0 0,0 0-1,0 0 1,0 0 0,1 0 0,-1 0-1,0 0 1,0 0 0,0 0-1,0 0 1,0 0 0,0 0 0,1 0-1,-1 0 1,0 1 0,0-1 0,0 0-1,0 0 1,0 0 0,0 0 0,0 0-1,0 1 1,0-1 0,1 0 0,-1 0-1,0 0 1,0 0 0,0 0 0,0 1-1,0-1 1,0 0 0,0 0 0,0 0-1,0 0 1,0 1 0,0-1 0,0 0-1,0 0 1,0 0 0,-1 1 0,8-9-1214</inkml:trace>
  <inkml:trace contextRef="#ctx0" brushRef="#br0" timeOffset="721.74">241 739 5465,'5'-6'4371,"-1"-4"-2985,3-11-724,4-4-142,-5 13-211,0 1-1,-1-2 0,0 0 0,-1 0 0,4-24 1,-2-64 1111,1 19-700,5-31-242,-7 73-386,-3 37-55,1 10-26,3 16-26,-1 2-102,1 0 0,12 28 0,-14-43 87,0 0-1,0-3 0,0 2 1,1-1-1,1 1 0,0-3 0,0 3 1,-1-3-1,10 9 0,-14-13 33,1-1-1,-1 0 0,0 0 1,1 1-1,-1-1 0,1 0 1,-1 0-1,1-1 0,0 0 0,-1 0 1,1 0-1,0 1 0,-1-1 1,1 0-1,0 0 0,0 0 1,-1 1-1,1-2 0,0 1 0,-1 0 1,1 0-1,0-1 0,-1 1 1,1 0-1,0 0 0,-1 0 1,1-1-1,0 1 0,-1-1 0,1 0 1,-1-1-1,0 1 0,1 0 1,-1-1-1,0 1 0,0 0 1,1-1-1,-1 1 0,0 0 0,1-2 1,4-6 29,-1-1 0,0 2-1,-1-2 1,1 1 0,3-15 0,23-94 125,-16 49 4,-12 57-94,-3 10-14,1 0 0,-1 1 1,1-1-1,-1-1 0,1 1 1,0-1-1,0 1 0,0 1 1,2-3-1,-3 2-33,1 2-1,0-1 1,0 0-1,0 1 1,0-1 0,0 1-1,0 0 1,0-1-1,0 1 1,0 0 0,1-1-1,-1 1 1,0 0-1,0 0 1,0 0-1,0 0 1,0 0 0,0 1-1,0-1 1,0 0-1,0 0 1,0 1 0,2 0-1,1 0-9,-1 2-1,0-1 1,1-1 0,-1 0-1,0 1 1,0 0 0,0 0-1,0 1 1,-1 1 0,1-3-1,-1 1 1,1 1 0,-1 1-1,0 0 1,0-2 0,0 1-1,0 0 1,-1 1-1,0-1 1,1 0 0,-1 1-1,0 0 1,0 5 0,3 8-33,-2 2 0,0-1 0,-2 25 0,0-37 18,-6 135-192,2-87-79,2 0 0,8 82 0,-5-129 74,1 2-1,-1 0 1,2-1-1,3 10 1,-6-16-28,1-1 0,-1 1-1,1 1 1,0-3 0,0 1 0,0 0 0,0 1 0,0-1 0,0 1-1,0-1 1,-1 0 0,1 0 0,1 1 0,-1 0 0,0-2-1,1 0 1,-1 1 0,1-1 0,-1 1 0,1 0 0,0-1 0,-1 1-1,0-1 1,0 1 0,1-1 0,0 0 0,3 1 0,10-3-1492</inkml:trace>
  <inkml:trace contextRef="#ctx0" brushRef="#br0" timeOffset="1413.55">982 738 3409,'-9'39'1868,"9"-39"-1817,0 1-1,0-1 0,0 0 1,0 0-1,0 1 1,0-1-1,0 0 0,0 1 1,0-1-1,-1 0 1,1 1-1,0-1 0,0 0 1,0 0-1,0 1 1,0-1-1,0 0 1,-1 0-1,1 1 0,0-1 1,0 0-1,0 0 1,-1 0-1,1 1 0,0-1 1,0 0-1,-1 0 1,1 0-1,0 0 0,0 1 1,-1-1-1,1 0 1,0 0-1,-1 0 1,1 0-1,0 0 0,0 0 1,0 0-1,0 0 1,0 0-1,-1 0 0,1 0 1,0 0-1,0 0 1,-1 0-1,1 0 0,0-1 1,0 1-1,-1 0 1,1 0-1,0 0 1,0 0-1,-1 0 0,1-1 1,0 1-1,0 0 1,-1 0-1,1 0 0,0-1 1,0 1-1,0 0 1,0 0-1,-1-1 0,1 1 1,0 0-1,0-1 1,0 1-1,0 0 1,0-1-1,-8-17 1346,-3-99 1649,3-42-859,3 19-854,5 134-1291,-3-23 231,0-38-1,4 57-205,0 2 0,0-2 0,0 1 0,1 0 0,1 1 0,0-1 0,0 0 0,6-10 0,-9 18-60,1 0 0,0 0 1,-1 0-1,1 0 1,0 0-1,-1-1 0,1 1 1,0 1-1,0-1 1,0 0-1,0 0 1,0 0-1,0 1 0,0 0 1,0 0-1,0-1 1,0 1-1,0 0 0,0 0 1,1 0-1,-1-1 1,-1 1-1,3 0 1,0 0-4,-1 0-1,1 1 1,0-1 0,1 0 0,-2 1 0,1-1 0,0 0 0,-1 2 0,5 1 0,1 4-23,0-4-1,0 3 1,0 0-1,12 13 1,-6-5-112,-1 2-1,13 20 1,-22-29 76,-1-2 0,0 2-1,0-1 1,0 0 0,0 1 0,-1 0 0,0 0-1,0 1 1,1 8 0,-4-11 13,1-1 1,-1-1-1,0-1 1,0 3-1,0-2 1,0 0-1,-1 0 0,1 0 1,-1 1-1,0-1 1,0 0-1,0-1 1,0 1-1,-1 1 1,1-2-1,0 1 0,-1-2 1,1 2-1,-4 2 1,1-2 28,0 0 0,1 0-1,-1 0 1,0-1 0,-1 1 0,1 0 0,0-1 0,-1-1 0,1 0 0,-1 1 0,-6-1 0,-68 0 24,79-1-28,0 0-1,0 0 0,1 0 0,-1 1 1,0-1-1,0 0 0,0 0 0,0 2 0,1-2 1,-1 1-1,0-1 0,0 1 0,1-1 1,-1 1-1,0-1 0,1 1 0,-1 0 1,0-1-1,1 0 0,-1 1 0,1 0 0,-1-1 1,1 1-1,-1 0 0,1-1 0,0 1 1,-1 0-1,1 0 0,0 0 0,0 1 1,0-2-1,0 1 0,0 0 0,0 0 0,0 0 1,0 0-1,0-1 0,0 1 0,0 1 1,0-2-69,0 0 1,1 1-1,-1-1 1,0 0-1,0 1 1,0-1 0,0 0-1,0 0 1,0 1-1,0-1 1,1 0 0,-1 1-1,0-1 1,0 0-1,0 0 1,1 1-1,-1-1 1,0 0 0,0 0-1,1 0 1,-1 1-1,0-1 1,0 0-1,1 0 1,-1 0 0,0 0-1,1 0 1,-1 0-1,0 2 1,1-2-1,-1 0 1,0 0 0,1 0-1,-1 0 1,0 0-1,0 0 1,1 0 0,-1-2-1,0 2 1,1 0-1,-1 0 1,1 0-1,2 0-653,13 0-1018</inkml:trace>
  <inkml:trace contextRef="#ctx0" brushRef="#br0" timeOffset="2193.97">1219 619 4433,'-12'83'2335,"9"-76"850,-1-14-1778,0-19-128,-3-93 1108,7-121 0,2 220-2269,1 2 1,1-1-1,2 1 0,-1 0 1,1-1-1,1 2 1,17-33-1,-22 48-108,-1-1-1,1-1 1,0 1-1,0 1 1,0 0-1,0 0 1,0-1 0,0-1-1,1 3 1,-1-1-1,1 0 1,5-3 0,-5 4-10,-1 0 0,0 1 0,1-1 0,-1 1 0,1 0 0,-1 0 0,1 0 1,-1 0-1,1 0 0,-1 0 0,1 0 0,-1 0 0,0 1 0,0 0 0,0-1 0,1 1 1,3 2-1,7 3-47,1 1 0,19 12 0,-28-16 10,0 0 0,0 2 0,-1-2 0,1 1 1,-1 2-1,0-2 0,-1 0 0,2 1 0,2 6 0,-6-7-3,0-1 0,0 0-1,0 1 1,0-1 0,-1 0-1,1 1 1,-1 0 0,0-1-1,0 0 1,-1 2 0,1-3-1,-1 2 1,1-1 0,-1 1-1,0-1 1,-1 1 0,1-2-1,0 1 1,-1 1 0,0-1-1,-4 4 1,-1 2-75,1 0 0,-2 1 0,1-2 1,-1 0-1,-13 9 0,12-10 109,0 0 0,0-4 1,0 4-1,-1-3 0,2-1 0,-2 2 1,0-1-1,0-2 0,-1 0 0,1 0 1,-1-1-1,-12 1 0,13 2 193,12 0 109,21 9 92,-15-9-459,32 15 153,18 11 127,91 59-1,-131-75-218,-3 1 0,2 1 0,-1 1 1,24 31-1,-20-28-937,-20-20 895,0 0-1,1 1 1,-1-1 0,0 0-1,0 0 1,0 0 0,1 0 0,-1 0-1,0 1 1,0-1 0,1 0-1,-1 0 1,0 0 0,0 0 0,1 0-1,-1 0 1,0 0 0,0 0-1,1 0 1,-1 0 0,0 0 0,1 0-1,-1 0 1,0 0 0,0 0-1,1 0 1,-1-1 0,0 1-1,0 0 1,1 0 0,-2-15-2107,-4-6 920</inkml:trace>
  <inkml:trace contextRef="#ctx0" brushRef="#br0" timeOffset="2590.83">1646 440 3721,'61'111'3781,"-58"-106"-3560,0 0 0,0 0 1,-1 0-1,1-1 0,1 0 1,0 1-1,0-2 0,0 1 1,0 0-1,1 0 0,0-1 1,6 4-1,-9-6-108,1 1 0,0-1 0,-1 0 0,1 0 0,0-1-1,0 0 1,-1 0 0,1 1 0,0-1 0,0 0 0,0 0 0,-1 0 0,0 0 0,1-1 0,0 1 0,0 0 0,0-1 0,-1 0 0,1 0 0,0 0 0,-1-1 0,1 1-1,-1-1 1,1 0 0,-1 1 0,3-2 0,3-5 148,-1 1 0,0-1 0,1-1 0,-2 1 0,0-1-1,7-13 1,25-60 372,-34 72-545,2-7-13,-1 1 0,0 0-1,-2 0 1,0-1 0,2-31 0,-5 45-44,0-1 1,0 1 0,0 0-1,-1 0 1,1-1 0,-1 2 0,0-1-1,0-1 1,0 1 0,-1 0 0,1 1-1,0-2 1,-1 1 0,0 1 0,0 0-1,-3-5 1,1 3 28,0 1-1,0-1 1,0 2 0,-1-2-1,2 1 1,-2 1 0,0-1-1,0 1 1,-8-3 0,6 3-27,-1 0 0,1 0 0,-1 1 0,0 0 0,1 0 0,-1 1 0,1 0 0,-1 0 0,1 0 0,-1 1 1,1 1-1,0 0 0,0 0 0,-12 5 0,12-3-71,0 0-1,0 2 1,0 0-1,0-1 1,1 2 0,0-2-1,2 3 1,-2-2 0,1 2-1,1-2 1,-1 3 0,1-2-1,-6 15 1,3-1-583,1-2-1,0 1 1,1 1 0,-3 35-1,7-19-1157,1-3 804</inkml:trace>
  <inkml:trace contextRef="#ctx0" brushRef="#br0" timeOffset="3101.57">2122 219 5073,'-4'-7'760,"-8"-9"490,10 13-85,7 4 1024,1 3-1784,-1 2 0,0-1-1,0 0 1,0 0 0,-1 1 0,1 1-1,-1-1 1,0 0 0,-1 0 0,5 11 0,3 12-248,9 36 0,-6-21-16,7 29-107,-14-44-13,2 1-1,1-2 1,23 46 0,-33-73-7,1 0 0,-1 1 1,1-1-1,0-1 0,0 0 0,-1 1 1,1 0-1,0 0 0,0 0 0,0 0 1,0 0-1,1 1 0,-1-1 1,1 0-1,-1-1-4,-1 0-1,0 0 1,1 0 0,-1 0 0,0 0-1,1 0 1,-1 0 0,0-1 0,1 1 0,-1 0-1,0 0 1,1 0 0,-1-1 0,0 1 0,0 0-1,1 0 1,-1-2 0,0 2 0,0 0 0,0 0-1,1-1 1,-1 1 0,0 0 0,0-1-1,0 1 1,0 0 0,0-1 0,0 1 0,0-1-1,1 1 1,-1 0 0,0-1 0,3-43 626,-3 31-509,23-177 1166,-2 21-812,-20 159-666,0 0 0,1 0 0,0 0 0,1 1 1,0-1-1,0 2 0,7-15 0,0 15-4608,-7 6 3227</inkml:trace>
  <inkml:trace contextRef="#ctx0" brushRef="#br0" timeOffset="3467.37">2443 218 5689,'34'113'2658,"-30"-102"-2031,-2 2-1,1 1 1,-2-2 0,1 1-1,-2 13 1,2 15-129,0-24-304,1 1 0,1-2 0,1 1-1,0 0 1,12 24 0,-15-35-107,1-1 0,1 0 1,-1 1-1,0-1 0,1-2 1,0 3-1,1-1 0,-1-3 1,1 4-1,-1-2 0,1 0 0,0-2 1,1 1-1,-1 1 0,0-1 1,1-1-1,0-1 0,0 2 1,7 2-1,-4-3-50,2-1 1,-1 0-1,0 0 1,0-1-1,1 0 1,-1 0-1,0-1 0,1 0 1,-1-1-1,16-7 1,-19 8-193,-1-1 0,0-1 0,0-2 1,0 1-1,0 2 0,-1-2 0,1-2 1,-1 3-1,0-2 0,-1-1 0,1 3 1,-1-3-1,0 0 0,0 1 0,0-1 1,-1 0-1,3-7 0,7-21-2369,1 5 1022</inkml:trace>
  <inkml:trace contextRef="#ctx0" brushRef="#br0" timeOffset="3809.29">2545 258 5545,'-6'1'2897,"9"-2"-473,2-2-799,-5 2-225,0-2-168,1 2-304,22-4-175,54-52-329,-39 39-136,5 0-168,3 1-72,-10-1-176,-1 5-176,-15 6-560,-9 3-409,-19 4-2544</inkml:trace>
  <inkml:trace contextRef="#ctx0" brushRef="#br0" timeOffset="4144.96">2428 430 5993,'-7'19'3409,"-2"-10"-704,9 4-793,-2 2-280,7-8-431,11 4-217,14-3-416,3-9-152,10-9-224,10 0-72,5-8-88,3 5-80,5 0-368,3 3-312,-13-5-1561,-8 2 1489</inkml:trace>
  <inkml:trace contextRef="#ctx0" brushRef="#br0" timeOffset="4863.08">3125 586 8586,'-30'97'3313,"27"-85"-1920,5-14-552,5-14 205,29-162 2510,-31 141-3338,-2 1 0,-3-74 0,-1 65-162,2 33-37,-1-2 1,-1 2-1,0-1 0,-1 2 1,0-2-1,-6-17 0,6 66 25,2-30-47,0 13-17,1-1-1,0 1 1,1-1-1,8 26 0,-9-38 15,0-2 0,1 0 0,-1-1 0,1 2-1,0-1 1,0-1 0,1 1 0,-1 0 0,1-1 0,0 0-1,0 0 1,0 2 0,1-3 0,-1 1 0,0-1-1,0 0 1,1 1 0,0 0 0,0-2 0,0 1-1,0 0 1,0-1 0,0 0 0,0 1 0,7 0-1,-8-2 7,0 0-1,0 0 0,0 0 0,0-1 0,0 1 0,0-1 0,0 0 1,0 0-1,0 0 0,0 1 0,-1-1 0,1-1 0,0 1 0,-1-1 0,1 1 1,-1-2-1,1 1 0,-1 0 0,0 1 0,3-5 0,5-6 3,0-1 0,14-24-1,-8 10 11,-5 11 9,-1 1-1,0-2 1,7-18 0,-17 29 80,-5 17-71,-6 112-103,9-110 56,-9 87-80,11-85 81,0 1 0,0-1 1,2 1-1,4 23 0,2-22-37,-7-17 50,-1 0 0,0 1 1,1-1-1,-1 0 0,0 1 1,1-1-1,-1 0 0,0 0 1,1 0-1,-1 1 0,1-1 1,-1 0-1,1 0 0,-1 0 1,0 0-1,1 0 0,-1 0 1,1 0-1,-1 0 1,2 0-1,-2 0 0,0 0 1,2 0-1,0-2-7,1 1 1,-1 0 0,1 0-1,-1-1 1,1-1-1,-1 2 1,0-2-1,3-1 1,2-4 11,57-54 2,-64 61-4,1 0 0,-1 1-1,1-1 1,0 1 0,-1-1-1,1 1 1,0-1 0,-1 1-1,1 0 1,0-1 0,0 1 0,-1 0-1,1-1 1,0 1 0,0 0-1,0 0 1,-1 0 0,1 0 0,0 0-1,0 0 1,0 0 0,-1 0-1,1 0 1,0 0 0,0 1 0,0-1-1,-1 0 1,1 0 0,0 1-1,0-1 1,-1 1 0,1-1-1,0 1 1,-1-1 0,1 1 0,0-1-1,-1 1 1,1-1 0,-1 1-1,2 1 1,3 3-5,-1 1-1,1 1 1,4 9-1,-2-6 0,-1 0 2,0-3-1,0 2 0,1 0 1,1-2-1,-1 2 1,1-3-1,1 2 1,0-2-1,0-1 1,0 1-1,16 6 0,-24-10 5,0-1 0,0-1 0,0 1 0,0-1 0,1 1 0,-1-1 0,0 1 0,0-1 0,0 0 0,0 0 0,1 0 0,-1 0 0,0 0 0,0 0 0,1 0 0,-1 0 0,0 0 0,0 0 0,0-1 0,0 1-1,1 0 1,-1-1 0,0 1 0,0-1 0,0 0 0,0 1 0,0-2 0,0 1 0,0 0 0,0 0 0,0 1 0,-1 0 0,1-1 0,0 1 0,1-3 0,13-12 0,8-1-94,19-12-285,-29 19-192,-11 7 230,1 0-1,-1 1 1,0-1 0,0 1 0,1-1-1,-1-1 1,-1 1 0,1 0-1,0-1 1,3-4 0,2-15-798</inkml:trace>
  <inkml:trace contextRef="#ctx0" brushRef="#br0" timeOffset="5395.78">3700 180 5185,'-89'-28'2387,"69"25"478,20 3-2810,0 0 1,0 0-1,0 0 0,0 0 1,1 0-1,-1 0 1,0 0-1,0 0 0,0 0 1,0 0-1,1 1 1,-1-1-1,0 0 0,0 0 1,0 0-1,0 0 1,1 0-1,-1 0 0,0 0 1,0 0-1,0 0 1,0-1-1,0 1 0,1 0 1,-1 0-1,0 0 1,0 0-1,0 0 1,0 0-1,1 0 0,-1 0 1,0 0-1,0 0 1,0-1-1,0 1 0,0 0 1,0 0-1,0 0 1,1 0-1,-1 0 0,0-1 1,0 1-1,0 0 1,0 0-1,0-1 0,7-5 1910,-5 5-1764,-1 1-172,20-7 352,-2-1 1,-1-2 0,1 2 0,28-24 0,-12 3-93,-29 23-250,1 0 0,-1 1-1,1-2 1,1 4 0,-1-2-1,11-5 1,-10 7 121,-10 4-1829,-14 9-1251,-11 15 1867,-74 64-985,-3-8 1564,87-63 951,0-2 1,2 2-1,-22 29 0,28-34 31,5-8-152,0-1 1,0 3 0,0-1 0,1 0 0,0 0 0,0 0 0,0 1-1,-2 9 1,5-15-308,0 0-1,0 0 1,0 0-1,0 1 1,1-1-1,-1 0 1,0 1-1,0-1 1,1 0-1,-1 0 1,1 0-1,-1 0 1,1 1-1,-1-2 1,1 1-1,0 0 1,-1 0-1,1 0 1,0 0-1,0 0 1,0-1-1,0 0 1,0 1-1,0 1 1,0-1-1,0-1 1,0 1-1,0-1 1,0 1-1,0-1 1,1 1-1,-1-1 1,0 0-1,2 1 1,5 0 40,-1-1 1,1 1-1,-1 0 0,12-1 1,5-3 29,1-1 0,47-13 0,-65 14-128,12-3-630,1-2 0,-1 0 0,17-11 1,-19 7-292</inkml:trace>
  <inkml:trace contextRef="#ctx0" brushRef="#br0" timeOffset="6035.08">3900 460 7738,'-9'100'3148,"11"-85"-345,-2-14-2770,1-1 0,-1 0-1,0 0 1,0 0 0,0 0 0,1 0 0,-1 0 0,0 0 0,0 0 0,0 0 0,1 0 0,-1 0 0,0 0 0,0 0 0,1 0 0,-1 0-1,0 0 1,0 0 0,0 0 0,1 0 0,-1 0 0,0 0 0,0 0 0,0 0 0,1-1 0,-1 1 0,0 0 0,0 0 0,0 0 0,0 0 0,0 0-1,1-2 1,-1 2 0,0 0 0,11-13 933,72-118 2327,23-77-2628,-94 185-563,-11 20-100,1 0 1,0-2-1,0 2 0,0 0 1,0 1-1,1-3 0,3-1 1,-6 5-3,0 1-1,1 0 1,-1 0 0,0 0 0,1 0 0,-1 0-1,1-1 1,-1 1 0,0 0 0,1 0 0,-1 0 0,1 0-1,-1 0 1,1 0 0,-1 0 0,0 0 0,1 0-1,-1 0 1,1 0 0,-1 0 0,0 0 0,0 0 0,0 0-1,1 0 1,-1 0 0,1 1 0,1-1-2,-1 1 0,0 0 0,0 0 0,0 1 0,0-1 0,0 0 1,0 2-1,-1-2 0,1 0 0,0 0 0,-1 0 0,1 2 0,18 52-414,21 101 0,1 6-29,-37-150 424,4 6 87,-6-18-59,-1-1 0,-1 1 0,1 0 1,0-1-1,0 1 0,-1-1 0,1 0 1,0 1-1,-1-1 0,1 0 0,-1 0 0,1 0 1,-1 0-1,1 1 0,-1-1 0,0 1 1,1-1-1,-1 0 0,0-1 0,1 1 0,-1-1 1,9-27 126,-1 0 1,7-38 0,-12 53-94,47-208 369,-42 184-386,-7 33-61,0-3 0,0 2 0,0 1 0,0-2 0,1 3 0,0-3 0,1 1 0,-1 1-1,1-1 1,0 2 0,1-2 0,5-6 0,-9 11-17,1 1-1,-1 0 0,1-1 1,-1 1-1,0 0 1,1-1-1,-1 1 1,1 0-1,-1 0 1,0 0-1,1 0 0,-1 0 1,1 0-1,-1 0 1,1-1-1,-1 1 1,1 0-1,-1 0 1,1 0-1,-1 0 0,1 0 1,-1 0-1,1 0 1,-1 0-1,1 0 1,-1 1-1,1-1 1,-1 0-1,1 0 0,-1 0 1,1 0-1,-1 0 1,0 0-1,1 0 1,-1 1-1,1-1 1,-1 0-1,0 1 0,1 0 1,9 15-2906,-2 3 1381</inkml:trace>
  <inkml:trace contextRef="#ctx0" brushRef="#br0" timeOffset="6415.86">4562 148 6753,'105'-13'3306,"-77"5"-495,-28 7-2747,0 1 0,0 0 0,1 0 0,-1 0 1,0 0-1,0 0 0,1 0 0,-1 0 0,0 0 0,1 0 1,-1-1-1,0 1 0,1 0 0,-1 0 0,0 0 0,0 0 1,1 0-1,-1 0 0,0 0 0,1 0 0,-1 0 0,0 0 1,1 0-1,-1 0 0,0 0 0,1 0 0,-1 1 0,0-1 1,0 0-1,2 0 0,-2 0 0,0 0 0,1 0 0,-1 0 1,0 0-1,0 0 0,0 0 0,1 1 0,-1-1 0,0 0 1,0 0-1,0 1 0,1-1 0,-1 0 0,0 1 0,0-1 1,0 0-1,0 2 0,0-2 0,0 0 0,0 1 0,0-1 1,0 0-1,0 1 0,0-1 0,2 6 61,3 7 199,-2 1 1,0-1-1,0 1 1,-2-2 0,1 23-1,-7 73-258,2-58 21,0 3-322,3 0 0,12 101 0,-4-128-290,-4-22-439,-3-16-1035,-2-6 1195</inkml:trace>
  <inkml:trace contextRef="#ctx0" brushRef="#br0" timeOffset="6801.99">4617 214 7218,'-68'-49'2915,"68"49"-2818,-1-1-1,1 1 1,0 0 0,-1 0 0,1-1 0,-1 1-1,1 0 1,-1 0 0,1-1 0,0 1-1,-1-2 1,1 2 0,0 0 0,0-1 0,0 1-1,0-1 1,-1 1 0,1-1 0,0 1-1,0-1 1,0 1 0,-1-1 0,1 1 0,0-1-1,0 1 1,0-1 0,0 1 0,0-1-1,0 1 1,0 0 0,0 0 0,0 0 0,0-1-1,0 1 1,1-2 0,8-5 908,-7 7-582,20-14 1056,1 3 1,43-19 0,-33 19-1293,2 0 0,-2 4-1,44-7 1,-70 13-242,190-17 479,-176 17-881,0 2 0,-1 0 0,0 2 0,1 0 0,-1 1 0,0 1 0,29 11 0,-38-12-324</inkml:trace>
</inkml: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3C12-4191-4208-9852-E735AFF0FFD7}">
  <dimension ref="A1:Y47"/>
  <sheetViews>
    <sheetView topLeftCell="A4" zoomScale="80" zoomScaleNormal="80" workbookViewId="0">
      <selection activeCell="B37" sqref="B37"/>
    </sheetView>
  </sheetViews>
  <sheetFormatPr defaultRowHeight="14.5" x14ac:dyDescent="0.35"/>
  <cols>
    <col min="1" max="1" width="13.54296875" customWidth="1"/>
    <col min="2" max="2" width="26.90625" customWidth="1"/>
    <col min="3" max="3" width="11.6328125" customWidth="1"/>
    <col min="4" max="4" width="13.08984375" customWidth="1"/>
    <col min="5" max="5" width="13.1796875" customWidth="1"/>
    <col min="6" max="6" width="18.54296875" customWidth="1"/>
    <col min="7" max="7" width="12.1796875" customWidth="1"/>
    <col min="8" max="8" width="12.26953125" customWidth="1"/>
    <col min="9" max="9" width="12.1796875" customWidth="1"/>
    <col min="10" max="10" width="12.7265625" customWidth="1"/>
    <col min="11" max="11" width="12.26953125" customWidth="1"/>
    <col min="12" max="12" width="12.36328125" customWidth="1"/>
    <col min="13" max="13" width="12.7265625" customWidth="1"/>
    <col min="14" max="14" width="13" customWidth="1"/>
    <col min="15" max="15" width="22.7265625" customWidth="1"/>
    <col min="16" max="16" width="14.7265625" customWidth="1"/>
    <col min="17" max="17" width="13.08984375" customWidth="1"/>
    <col min="18" max="18" width="20.453125" customWidth="1"/>
    <col min="19" max="19" width="13.54296875" customWidth="1"/>
    <col min="20" max="20" width="12.453125" customWidth="1"/>
    <col min="21" max="21" width="12.90625" customWidth="1"/>
    <col min="22" max="22" width="12.54296875" customWidth="1"/>
    <col min="23" max="23" width="11.1796875" customWidth="1"/>
  </cols>
  <sheetData>
    <row r="1" spans="1:16" ht="62" thickBot="1" x14ac:dyDescent="1.4">
      <c r="A1" s="5" t="s">
        <v>0</v>
      </c>
      <c r="B1" s="6"/>
      <c r="C1" s="6"/>
      <c r="D1" s="6"/>
      <c r="E1" s="6"/>
      <c r="F1" s="7"/>
    </row>
    <row r="2" spans="1:16" ht="15" thickBot="1" x14ac:dyDescent="0.4"/>
    <row r="3" spans="1:16" ht="15" thickBot="1" x14ac:dyDescent="0.4">
      <c r="A3" s="4" t="s">
        <v>1</v>
      </c>
    </row>
    <row r="4" spans="1:16" x14ac:dyDescent="0.35">
      <c r="A4" s="38" t="s">
        <v>2</v>
      </c>
    </row>
    <row r="5" spans="1:16" x14ac:dyDescent="0.35">
      <c r="A5" s="38" t="s">
        <v>3</v>
      </c>
    </row>
    <row r="6" spans="1:16" ht="15" thickBot="1" x14ac:dyDescent="0.4"/>
    <row r="7" spans="1:16" ht="15" thickBot="1" x14ac:dyDescent="0.4">
      <c r="O7" s="3" t="s">
        <v>21</v>
      </c>
      <c r="P7" s="3" t="s">
        <v>22</v>
      </c>
    </row>
    <row r="8" spans="1:16" x14ac:dyDescent="0.35">
      <c r="O8" s="24" t="s">
        <v>26</v>
      </c>
      <c r="P8" s="25" t="s">
        <v>32</v>
      </c>
    </row>
    <row r="9" spans="1:16" x14ac:dyDescent="0.35">
      <c r="O9" s="24" t="s">
        <v>27</v>
      </c>
      <c r="P9" s="25" t="s">
        <v>33</v>
      </c>
    </row>
    <row r="10" spans="1:16" x14ac:dyDescent="0.35">
      <c r="O10" s="24" t="s">
        <v>28</v>
      </c>
      <c r="P10" s="25" t="s">
        <v>34</v>
      </c>
    </row>
    <row r="11" spans="1:16" x14ac:dyDescent="0.35">
      <c r="O11" s="24" t="s">
        <v>29</v>
      </c>
      <c r="P11" s="25" t="s">
        <v>35</v>
      </c>
    </row>
    <row r="12" spans="1:16" x14ac:dyDescent="0.35">
      <c r="O12" s="24" t="s">
        <v>128</v>
      </c>
      <c r="P12" s="25" t="s">
        <v>129</v>
      </c>
    </row>
    <row r="13" spans="1:16" x14ac:dyDescent="0.35">
      <c r="O13" s="24" t="s">
        <v>130</v>
      </c>
      <c r="P13" s="25" t="s">
        <v>36</v>
      </c>
    </row>
    <row r="14" spans="1:16" x14ac:dyDescent="0.35">
      <c r="O14" s="24" t="s">
        <v>62</v>
      </c>
      <c r="P14" s="25" t="s">
        <v>63</v>
      </c>
    </row>
    <row r="15" spans="1:16" x14ac:dyDescent="0.35">
      <c r="O15" s="24" t="s">
        <v>64</v>
      </c>
      <c r="P15" s="25" t="s">
        <v>65</v>
      </c>
    </row>
    <row r="16" spans="1:16" x14ac:dyDescent="0.35">
      <c r="O16" s="24" t="s">
        <v>30</v>
      </c>
      <c r="P16" s="25" t="s">
        <v>37</v>
      </c>
    </row>
    <row r="17" spans="1:25" ht="15" thickBot="1" x14ac:dyDescent="0.4">
      <c r="O17" s="26" t="s">
        <v>31</v>
      </c>
      <c r="P17" s="27" t="s">
        <v>38</v>
      </c>
    </row>
    <row r="20" spans="1:25" x14ac:dyDescent="0.35">
      <c r="L20" t="s">
        <v>4</v>
      </c>
    </row>
    <row r="21" spans="1:25" ht="15" thickBot="1" x14ac:dyDescent="0.4"/>
    <row r="22" spans="1:25" ht="15" thickBot="1" x14ac:dyDescent="0.4">
      <c r="G22" s="8" t="s">
        <v>25</v>
      </c>
      <c r="H22" s="1"/>
      <c r="I22" s="2"/>
      <c r="J22" s="2"/>
      <c r="T22" s="8" t="s">
        <v>19</v>
      </c>
      <c r="U22" s="1"/>
      <c r="V22" s="2"/>
    </row>
    <row r="23" spans="1:25" ht="15" thickBot="1" x14ac:dyDescent="0.4">
      <c r="C23" s="18">
        <v>1</v>
      </c>
      <c r="D23" s="18">
        <v>2</v>
      </c>
      <c r="E23" s="18">
        <v>3</v>
      </c>
      <c r="F23" s="18">
        <v>4</v>
      </c>
      <c r="G23" s="18">
        <v>5</v>
      </c>
      <c r="H23" s="18">
        <v>6</v>
      </c>
      <c r="I23" s="19">
        <v>7</v>
      </c>
      <c r="J23" s="20">
        <v>8</v>
      </c>
      <c r="K23" s="20">
        <v>9</v>
      </c>
      <c r="L23" s="19">
        <v>10</v>
      </c>
      <c r="M23" s="21">
        <v>11</v>
      </c>
      <c r="N23" s="21">
        <v>12</v>
      </c>
      <c r="S23" s="3" t="s">
        <v>10</v>
      </c>
      <c r="T23" s="3" t="s">
        <v>9</v>
      </c>
      <c r="U23" s="3" t="s">
        <v>16</v>
      </c>
      <c r="V23" s="3" t="s">
        <v>17</v>
      </c>
      <c r="W23" s="3" t="s">
        <v>18</v>
      </c>
      <c r="Y23" t="s">
        <v>20</v>
      </c>
    </row>
    <row r="24" spans="1:25" ht="26" customHeight="1" thickBot="1" x14ac:dyDescent="0.4">
      <c r="B24" s="3" t="s">
        <v>5</v>
      </c>
      <c r="C24" s="9">
        <v>298.14999999999998</v>
      </c>
      <c r="D24" s="9">
        <v>571.55999999999995</v>
      </c>
      <c r="E24" s="9">
        <v>303.14999999999998</v>
      </c>
      <c r="F24" s="9">
        <v>582.22</v>
      </c>
      <c r="G24" s="9">
        <v>313.14999999999998</v>
      </c>
      <c r="H24" s="9">
        <v>307.39999999999998</v>
      </c>
      <c r="I24" s="9">
        <v>298.14999999999998</v>
      </c>
      <c r="J24" s="9">
        <v>823.15</v>
      </c>
      <c r="K24" s="9">
        <v>616.69000000000005</v>
      </c>
      <c r="L24" s="9">
        <v>298.14999999999998</v>
      </c>
      <c r="M24" s="9">
        <v>1098.1500000000001</v>
      </c>
      <c r="N24" s="9">
        <v>680.85</v>
      </c>
      <c r="R24" s="15" t="s">
        <v>14</v>
      </c>
      <c r="S24" s="3">
        <v>0.79</v>
      </c>
      <c r="T24" s="3">
        <v>0.21</v>
      </c>
      <c r="U24" s="3">
        <v>0</v>
      </c>
      <c r="V24" s="3">
        <v>0</v>
      </c>
      <c r="W24" s="3">
        <v>0</v>
      </c>
      <c r="Y24">
        <f>SUM(S24:W24)</f>
        <v>1</v>
      </c>
    </row>
    <row r="25" spans="1:25" ht="24.5" customHeight="1" thickBot="1" x14ac:dyDescent="0.4">
      <c r="B25" s="3" t="s">
        <v>6</v>
      </c>
      <c r="C25" s="11">
        <v>1</v>
      </c>
      <c r="D25" s="11">
        <v>8.5</v>
      </c>
      <c r="E25" s="11">
        <v>8.5</v>
      </c>
      <c r="F25" s="11">
        <v>72</v>
      </c>
      <c r="G25" s="11">
        <v>72</v>
      </c>
      <c r="H25" s="11">
        <v>42</v>
      </c>
      <c r="I25" s="11">
        <v>50</v>
      </c>
      <c r="J25" s="11">
        <v>42</v>
      </c>
      <c r="K25" s="11">
        <v>11</v>
      </c>
      <c r="L25" s="11">
        <v>50</v>
      </c>
      <c r="M25" s="11">
        <v>11</v>
      </c>
      <c r="N25" s="11">
        <v>1</v>
      </c>
      <c r="R25" s="17" t="s">
        <v>23</v>
      </c>
      <c r="S25" s="3">
        <v>0.77397700000000003</v>
      </c>
      <c r="T25" s="3">
        <v>0.16517699999999999</v>
      </c>
      <c r="U25" s="3">
        <v>4.0564299999999998E-2</v>
      </c>
      <c r="V25" s="14">
        <v>7.29846E-78</v>
      </c>
      <c r="W25" s="3">
        <v>2.0282100000000001E-2</v>
      </c>
      <c r="Y25">
        <f t="shared" ref="Y25:Y26" si="0">SUM(S25:W25)</f>
        <v>1.0000004</v>
      </c>
    </row>
    <row r="26" spans="1:25" ht="25.5" customHeight="1" thickBot="1" x14ac:dyDescent="0.4">
      <c r="A26" s="3" t="s">
        <v>8</v>
      </c>
      <c r="B26" s="3" t="s">
        <v>7</v>
      </c>
      <c r="C26" s="11">
        <v>108</v>
      </c>
      <c r="D26" s="11">
        <v>108</v>
      </c>
      <c r="E26" s="11">
        <v>108</v>
      </c>
      <c r="F26" s="11">
        <v>108</v>
      </c>
      <c r="G26" s="11">
        <v>108</v>
      </c>
      <c r="H26" s="11">
        <v>108</v>
      </c>
      <c r="I26" s="11">
        <v>1.24</v>
      </c>
      <c r="J26" s="11">
        <v>109.24</v>
      </c>
      <c r="K26" s="11">
        <v>109.24</v>
      </c>
      <c r="L26" s="11">
        <v>1.29</v>
      </c>
      <c r="M26" s="11">
        <v>110.53</v>
      </c>
      <c r="N26" s="11">
        <v>110.53</v>
      </c>
      <c r="Q26" s="3" t="s">
        <v>13</v>
      </c>
      <c r="R26" s="4" t="s">
        <v>24</v>
      </c>
      <c r="S26" s="3">
        <v>0.75806300000000004</v>
      </c>
      <c r="T26" s="3">
        <v>0.120657</v>
      </c>
      <c r="U26" s="3">
        <v>8.0853300000000003E-2</v>
      </c>
      <c r="V26" s="14">
        <v>1.0510800000000001E-63</v>
      </c>
      <c r="W26" s="3">
        <v>4.0426700000000003E-2</v>
      </c>
      <c r="Y26">
        <f t="shared" si="0"/>
        <v>1</v>
      </c>
    </row>
    <row r="27" spans="1:25" ht="25.5" customHeight="1" thickBot="1" x14ac:dyDescent="0.4">
      <c r="A27" s="12"/>
      <c r="B27" s="3" t="s">
        <v>45</v>
      </c>
      <c r="C27" s="9">
        <v>3.7434500000000002</v>
      </c>
      <c r="D27" s="9">
        <v>3.7434500000000002</v>
      </c>
      <c r="E27" s="9">
        <v>3.7434500000000002</v>
      </c>
      <c r="F27" s="9">
        <v>3.7434500000000002</v>
      </c>
      <c r="G27" s="9">
        <v>3.7434500000000002</v>
      </c>
      <c r="H27" s="9">
        <v>3.7434500000000002</v>
      </c>
      <c r="I27" s="9">
        <v>0.08</v>
      </c>
      <c r="J27" s="34">
        <v>3.8209499999999998</v>
      </c>
      <c r="K27" s="34">
        <v>3.8209499999999998</v>
      </c>
      <c r="L27" s="9">
        <v>0.08</v>
      </c>
      <c r="M27" s="9">
        <v>3.90116</v>
      </c>
      <c r="N27" s="9">
        <v>3.90116</v>
      </c>
      <c r="Q27" s="12"/>
      <c r="R27" s="16" t="s">
        <v>15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Y27">
        <f>SUM(S27:W27)</f>
        <v>1</v>
      </c>
    </row>
    <row r="28" spans="1:25" ht="22.5" customHeight="1" thickBot="1" x14ac:dyDescent="0.4">
      <c r="B28" s="33" t="s">
        <v>46</v>
      </c>
      <c r="C28" s="31">
        <v>-804003</v>
      </c>
      <c r="D28" s="31">
        <v>-804003</v>
      </c>
      <c r="E28" s="31">
        <v>-804003</v>
      </c>
      <c r="F28" s="31">
        <v>-804003</v>
      </c>
      <c r="G28" s="31">
        <v>-804003</v>
      </c>
      <c r="H28" s="31">
        <v>-804003</v>
      </c>
      <c r="I28" s="13">
        <v>-74538.100000000006</v>
      </c>
      <c r="J28" s="13">
        <v>-17800.7</v>
      </c>
      <c r="K28" s="13">
        <v>-17800.7</v>
      </c>
      <c r="L28" s="13">
        <v>-74538.100000000006</v>
      </c>
      <c r="M28" s="13">
        <v>-35472.800000000003</v>
      </c>
      <c r="N28" s="13">
        <v>-35472.800000000003</v>
      </c>
    </row>
    <row r="29" spans="1:25" ht="23" customHeight="1" thickBot="1" x14ac:dyDescent="0.4">
      <c r="B29" s="33" t="s">
        <v>44</v>
      </c>
      <c r="C29" s="37">
        <v>4.3601400000000003</v>
      </c>
      <c r="D29" s="37">
        <v>4.3601400000000003</v>
      </c>
      <c r="E29" s="37">
        <v>4.3601400000000003</v>
      </c>
      <c r="F29" s="37">
        <v>4.3601400000000003</v>
      </c>
      <c r="G29" s="37">
        <v>4.3601400000000003</v>
      </c>
      <c r="H29" s="37">
        <v>4.3601400000000003</v>
      </c>
      <c r="I29" s="37">
        <v>-80.529799999999994</v>
      </c>
      <c r="J29" s="37">
        <v>4.1985999999999999</v>
      </c>
      <c r="K29" s="37">
        <v>4.1985999999999999</v>
      </c>
      <c r="L29" s="37">
        <v>-80.529799999999994</v>
      </c>
      <c r="M29" s="37">
        <v>3.2382200000000001</v>
      </c>
      <c r="N29" s="37">
        <v>3.2382200000000001</v>
      </c>
    </row>
    <row r="30" spans="1:25" ht="21.5" customHeight="1" thickBot="1" x14ac:dyDescent="0.4">
      <c r="B30" s="3" t="s">
        <v>11</v>
      </c>
      <c r="C30" s="35">
        <v>-278.68</v>
      </c>
      <c r="D30" s="10">
        <v>280539</v>
      </c>
      <c r="E30" s="10">
        <v>2794.73</v>
      </c>
      <c r="F30" s="10">
        <v>290565</v>
      </c>
      <c r="G30" s="10">
        <v>-963.197</v>
      </c>
      <c r="H30" s="10">
        <v>-963.197</v>
      </c>
      <c r="I30" s="36">
        <v>-4701830</v>
      </c>
      <c r="J30" s="10">
        <v>-54462.400000000001</v>
      </c>
      <c r="K30" s="10">
        <v>-286285</v>
      </c>
      <c r="L30" s="36">
        <v>-4701830</v>
      </c>
      <c r="M30" s="10">
        <v>-337693</v>
      </c>
      <c r="N30" s="10">
        <v>-834950</v>
      </c>
    </row>
    <row r="31" spans="1:25" ht="24.5" customHeight="1" thickBot="1" x14ac:dyDescent="0.4">
      <c r="B31" s="3" t="s">
        <v>12</v>
      </c>
      <c r="C31" s="10">
        <v>151.12899999999999</v>
      </c>
      <c r="D31" s="10">
        <v>201.44399999999999</v>
      </c>
      <c r="E31" s="10">
        <v>-453.81099999999998</v>
      </c>
      <c r="F31" s="10">
        <v>-403.21600000000001</v>
      </c>
      <c r="G31" s="10">
        <v>-1076.47</v>
      </c>
      <c r="H31" s="10">
        <v>-923.31700000000001</v>
      </c>
      <c r="I31" s="10">
        <v>-7179.89</v>
      </c>
      <c r="J31" s="10">
        <v>145.477</v>
      </c>
      <c r="K31" s="10">
        <v>213.917</v>
      </c>
      <c r="L31" s="10">
        <v>-7179.89</v>
      </c>
      <c r="M31" s="10">
        <v>872.86400000000003</v>
      </c>
      <c r="N31" s="10">
        <v>1009.72</v>
      </c>
      <c r="O31" s="12"/>
    </row>
    <row r="32" spans="1:25" ht="15" thickBot="1" x14ac:dyDescent="0.4">
      <c r="B32" s="40" t="s">
        <v>348</v>
      </c>
    </row>
    <row r="33" spans="2:13" ht="15" thickBot="1" x14ac:dyDescent="0.4">
      <c r="B33" t="s">
        <v>47</v>
      </c>
    </row>
    <row r="34" spans="2:13" ht="15" thickBot="1" x14ac:dyDescent="0.4">
      <c r="G34" s="30" t="s">
        <v>41</v>
      </c>
      <c r="H34" s="1"/>
      <c r="I34" s="1"/>
      <c r="J34" s="2"/>
    </row>
    <row r="35" spans="2:13" ht="15" thickBot="1" x14ac:dyDescent="0.4">
      <c r="F35" s="11" t="s">
        <v>49</v>
      </c>
      <c r="G35" s="10" t="s">
        <v>79</v>
      </c>
      <c r="H35" s="10" t="s">
        <v>80</v>
      </c>
      <c r="I35" s="10" t="s">
        <v>81</v>
      </c>
      <c r="J35" s="10" t="s">
        <v>50</v>
      </c>
      <c r="K35" s="11" t="s">
        <v>51</v>
      </c>
      <c r="M35" t="s">
        <v>194</v>
      </c>
    </row>
    <row r="36" spans="2:13" x14ac:dyDescent="0.35">
      <c r="D36" t="s">
        <v>39</v>
      </c>
      <c r="F36" s="22">
        <f>(C26*(D30-C30))/1000000</f>
        <v>30.328309439999998</v>
      </c>
      <c r="G36" s="28">
        <f>(D26*(E30-D30))/1000000</f>
        <v>-29.996381160000006</v>
      </c>
      <c r="H36" s="28">
        <f>(D26*(F30-E30))/1000000</f>
        <v>31.079189160000006</v>
      </c>
      <c r="I36" s="28">
        <f>(F26*(G30-F30))/1000000</f>
        <v>-31.485045275999997</v>
      </c>
      <c r="J36" s="28">
        <f>(K26*(J30-K30))/1000000</f>
        <v>25.324300824000002</v>
      </c>
      <c r="K36" s="23">
        <f>-(N26*(N30-M30))/1000000</f>
        <v>54.961816210000002</v>
      </c>
      <c r="M36" t="s">
        <v>195</v>
      </c>
    </row>
    <row r="37" spans="2:13" ht="15" thickBot="1" x14ac:dyDescent="0.4">
      <c r="D37" t="s">
        <v>40</v>
      </c>
      <c r="F37" s="106">
        <f>30947211/1000000</f>
        <v>30.947210999999999</v>
      </c>
      <c r="G37" s="107">
        <f>-29996338/1000000</f>
        <v>-29.996338000000002</v>
      </c>
      <c r="H37" s="107">
        <f>31713405/1000000</f>
        <v>31.713405000000002</v>
      </c>
      <c r="I37" s="107">
        <f>-31484993/1000000</f>
        <v>-31.484992999999999</v>
      </c>
      <c r="J37" s="107">
        <f>24818525/1000000</f>
        <v>24.818525000000001</v>
      </c>
      <c r="K37" s="108">
        <f>53862600/1000000</f>
        <v>53.8626</v>
      </c>
      <c r="M37" t="s">
        <v>196</v>
      </c>
    </row>
    <row r="38" spans="2:13" x14ac:dyDescent="0.35">
      <c r="M38" t="s">
        <v>197</v>
      </c>
    </row>
    <row r="39" spans="2:13" x14ac:dyDescent="0.35">
      <c r="M39" t="s">
        <v>198</v>
      </c>
    </row>
    <row r="40" spans="2:13" x14ac:dyDescent="0.35">
      <c r="F40" s="38" t="s">
        <v>53</v>
      </c>
      <c r="J40" s="38" t="s">
        <v>52</v>
      </c>
      <c r="M40" t="s">
        <v>199</v>
      </c>
    </row>
    <row r="41" spans="2:13" x14ac:dyDescent="0.35">
      <c r="G41">
        <f>F37+H37</f>
        <v>62.660616000000005</v>
      </c>
      <c r="K41">
        <f>J37+K37</f>
        <v>78.681125000000009</v>
      </c>
    </row>
    <row r="43" spans="2:13" x14ac:dyDescent="0.35">
      <c r="F43" t="s">
        <v>131</v>
      </c>
      <c r="G43" s="75">
        <v>802699264.40722406</v>
      </c>
    </row>
    <row r="44" spans="2:13" ht="15" thickBot="1" x14ac:dyDescent="0.4">
      <c r="F44" t="s">
        <v>132</v>
      </c>
      <c r="G44" s="10">
        <v>16.042760000000001</v>
      </c>
    </row>
    <row r="45" spans="2:13" x14ac:dyDescent="0.35">
      <c r="F45" s="38" t="s">
        <v>55</v>
      </c>
      <c r="G45">
        <f>(G43/G44)/1000000</f>
        <v>50.03498552663158</v>
      </c>
      <c r="J45" s="38" t="s">
        <v>56</v>
      </c>
    </row>
    <row r="46" spans="2:13" x14ac:dyDescent="0.35">
      <c r="F46" s="38" t="s">
        <v>54</v>
      </c>
      <c r="K46" s="39">
        <f>((K41)/(G41+G47))</f>
        <v>0.4157542243749231</v>
      </c>
    </row>
    <row r="47" spans="2:13" x14ac:dyDescent="0.35">
      <c r="G47">
        <f>(I26+L26)*G45</f>
        <v>126.58851338237791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9627-9732-416B-B150-51B85CA916ED}">
  <dimension ref="A1:BR136"/>
  <sheetViews>
    <sheetView topLeftCell="A10" zoomScale="55" zoomScaleNormal="55" workbookViewId="0">
      <selection activeCell="Y15" sqref="Y15:Y16"/>
    </sheetView>
  </sheetViews>
  <sheetFormatPr defaultRowHeight="14.5" x14ac:dyDescent="0.35"/>
  <cols>
    <col min="1" max="1" width="23.6328125" customWidth="1"/>
    <col min="2" max="2" width="50.36328125" customWidth="1"/>
    <col min="3" max="3" width="11.90625" customWidth="1"/>
    <col min="4" max="4" width="11.08984375" customWidth="1"/>
    <col min="5" max="5" width="11.7265625" customWidth="1"/>
    <col min="6" max="6" width="10.7265625" customWidth="1"/>
    <col min="7" max="8" width="10.81640625" customWidth="1"/>
    <col min="9" max="9" width="11.26953125" bestFit="1" customWidth="1"/>
    <col min="10" max="10" width="10.54296875" customWidth="1"/>
    <col min="11" max="11" width="11.1796875" customWidth="1"/>
    <col min="12" max="12" width="11.81640625" customWidth="1"/>
    <col min="13" max="13" width="10.90625" customWidth="1"/>
    <col min="14" max="14" width="11.1796875" customWidth="1"/>
    <col min="16" max="16" width="11" bestFit="1" customWidth="1"/>
    <col min="34" max="34" width="14" customWidth="1"/>
    <col min="56" max="56" width="14.54296875" customWidth="1"/>
  </cols>
  <sheetData>
    <row r="1" spans="1:70" ht="15" thickBot="1" x14ac:dyDescent="0.4">
      <c r="A1" s="32" t="s">
        <v>42</v>
      </c>
    </row>
    <row r="2" spans="1:70" ht="15" thickBot="1" x14ac:dyDescent="0.4">
      <c r="A2" s="38" t="s">
        <v>43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AF2" s="54" t="s">
        <v>76</v>
      </c>
      <c r="BB2" s="22" t="s">
        <v>78</v>
      </c>
      <c r="BC2" s="23"/>
    </row>
    <row r="3" spans="1:70" x14ac:dyDescent="0.35">
      <c r="AF3" s="22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3"/>
      <c r="BB3" s="22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3"/>
    </row>
    <row r="4" spans="1:70" ht="15" thickBot="1" x14ac:dyDescent="0.4">
      <c r="AF4" s="24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25"/>
      <c r="BB4" s="24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25"/>
    </row>
    <row r="5" spans="1:70" ht="21.5" thickBot="1" x14ac:dyDescent="0.55000000000000004">
      <c r="B5" s="45" t="s">
        <v>48</v>
      </c>
      <c r="E5" t="s">
        <v>47</v>
      </c>
      <c r="AF5" s="24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51" t="s">
        <v>86</v>
      </c>
      <c r="AU5" s="12" t="s">
        <v>85</v>
      </c>
      <c r="AV5" s="12"/>
      <c r="AW5" s="12"/>
      <c r="AX5" s="25"/>
      <c r="BB5" s="24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51" t="s">
        <v>86</v>
      </c>
      <c r="BQ5" s="12"/>
      <c r="BR5" s="25"/>
    </row>
    <row r="6" spans="1:70" ht="15" thickBot="1" x14ac:dyDescent="0.4">
      <c r="B6" s="46" t="s">
        <v>67</v>
      </c>
      <c r="AF6" s="24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31">
        <f>-C56-C17*((D38+D40)-(C38+C40))</f>
        <v>2361.1745008362414</v>
      </c>
      <c r="AU6" s="12"/>
      <c r="AV6" s="12"/>
      <c r="AW6" s="12"/>
      <c r="AX6" s="25"/>
      <c r="BB6" s="24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31">
        <f>-E17*((E35+E40)-(D35+D40))</f>
        <v>8897.0391089999994</v>
      </c>
      <c r="BQ6" s="12"/>
      <c r="BR6" s="25"/>
    </row>
    <row r="7" spans="1:70" ht="15" thickBot="1" x14ac:dyDescent="0.4">
      <c r="AF7" s="24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42">
        <f>-C56-(D50-C50)</f>
        <v>2361.1745008362377</v>
      </c>
      <c r="AU7" s="12"/>
      <c r="AV7" s="12"/>
      <c r="AW7" s="12"/>
      <c r="AX7" s="25"/>
      <c r="BB7" s="24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42">
        <f>-(E50-D50)</f>
        <v>8896.9930502587631</v>
      </c>
      <c r="BQ7" s="12"/>
      <c r="BR7" s="25"/>
    </row>
    <row r="8" spans="1:70" x14ac:dyDescent="0.35">
      <c r="B8" s="45" t="s">
        <v>72</v>
      </c>
      <c r="D8" t="s">
        <v>100</v>
      </c>
      <c r="AF8" s="24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25"/>
      <c r="BB8" s="24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25"/>
    </row>
    <row r="9" spans="1:70" ht="15.5" customHeight="1" thickBot="1" x14ac:dyDescent="0.4">
      <c r="B9" s="50" t="s">
        <v>73</v>
      </c>
      <c r="AF9" s="24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25"/>
      <c r="BB9" s="24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25"/>
    </row>
    <row r="10" spans="1:70" x14ac:dyDescent="0.35">
      <c r="AF10" s="24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25"/>
      <c r="BB10" s="24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25"/>
    </row>
    <row r="11" spans="1:70" x14ac:dyDescent="0.35">
      <c r="AF11" s="24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25"/>
      <c r="BB11" s="24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25"/>
    </row>
    <row r="12" spans="1:70" ht="15" thickBot="1" x14ac:dyDescent="0.4">
      <c r="AF12" s="24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25"/>
      <c r="BB12" s="24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25"/>
    </row>
    <row r="13" spans="1:70" ht="15" thickBot="1" x14ac:dyDescent="0.4">
      <c r="G13" s="8" t="s">
        <v>25</v>
      </c>
      <c r="H13" s="1"/>
      <c r="I13" s="2"/>
      <c r="J13" s="2"/>
      <c r="K13" s="2"/>
      <c r="T13" s="8"/>
      <c r="U13" s="1" t="s">
        <v>251</v>
      </c>
      <c r="V13" s="1"/>
      <c r="W13" s="2"/>
      <c r="X13" s="8"/>
      <c r="Y13" s="1" t="s">
        <v>251</v>
      </c>
      <c r="Z13" s="1"/>
      <c r="AA13" s="2"/>
      <c r="AF13" s="24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25"/>
      <c r="BB13" s="24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25"/>
    </row>
    <row r="14" spans="1:70" ht="15" thickBot="1" x14ac:dyDescent="0.4">
      <c r="C14" s="18">
        <v>1</v>
      </c>
      <c r="D14" s="18">
        <v>2</v>
      </c>
      <c r="E14" s="18">
        <v>3</v>
      </c>
      <c r="F14" s="18">
        <v>4</v>
      </c>
      <c r="G14" s="18">
        <v>5</v>
      </c>
      <c r="H14" s="18">
        <v>6</v>
      </c>
      <c r="I14" s="19">
        <v>7</v>
      </c>
      <c r="J14" s="20">
        <v>8</v>
      </c>
      <c r="K14" s="20">
        <v>9</v>
      </c>
      <c r="L14" s="19">
        <v>10</v>
      </c>
      <c r="M14" s="21">
        <v>11</v>
      </c>
      <c r="N14" s="21">
        <v>12</v>
      </c>
      <c r="R14" s="8" t="s">
        <v>211</v>
      </c>
      <c r="S14" s="2"/>
      <c r="T14" s="8" t="s">
        <v>243</v>
      </c>
      <c r="U14" s="1"/>
      <c r="V14" s="2"/>
      <c r="W14" s="2"/>
      <c r="X14" s="8" t="s">
        <v>244</v>
      </c>
      <c r="Y14" s="1"/>
      <c r="Z14" s="2"/>
      <c r="AA14" s="2"/>
      <c r="AF14" s="24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25"/>
      <c r="BB14" s="24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25"/>
    </row>
    <row r="15" spans="1:70" ht="15" thickBot="1" x14ac:dyDescent="0.4">
      <c r="A15" s="3" t="s">
        <v>8</v>
      </c>
      <c r="B15" s="3" t="s">
        <v>5</v>
      </c>
      <c r="C15" s="9">
        <v>298.14999999999998</v>
      </c>
      <c r="D15" s="9">
        <v>571.55999999999995</v>
      </c>
      <c r="E15" s="9">
        <v>303.14999999999998</v>
      </c>
      <c r="F15" s="9">
        <v>582.22</v>
      </c>
      <c r="G15" s="9">
        <v>313.14999999999998</v>
      </c>
      <c r="H15" s="9">
        <v>307.39999999999998</v>
      </c>
      <c r="I15" s="9">
        <v>298.14999999999998</v>
      </c>
      <c r="J15" s="9">
        <v>823.15</v>
      </c>
      <c r="K15" s="9">
        <v>616.69000000000005</v>
      </c>
      <c r="L15" s="9">
        <v>298.14999999999998</v>
      </c>
      <c r="M15" s="9">
        <v>1098.1500000000001</v>
      </c>
      <c r="N15" s="9">
        <v>680.85</v>
      </c>
      <c r="R15" s="22" t="s">
        <v>9</v>
      </c>
      <c r="S15" s="23"/>
      <c r="T15" s="22"/>
      <c r="U15" s="28">
        <v>3.97</v>
      </c>
      <c r="V15" s="28"/>
      <c r="W15" s="23"/>
      <c r="X15" s="22"/>
      <c r="Y15" s="28">
        <f>U15*1000</f>
        <v>3970</v>
      </c>
      <c r="Z15" s="28"/>
      <c r="AA15" s="23"/>
      <c r="AF15" s="24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25"/>
      <c r="BB15" s="24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25"/>
    </row>
    <row r="16" spans="1:70" ht="15" thickBot="1" x14ac:dyDescent="0.4">
      <c r="B16" s="3" t="s">
        <v>6</v>
      </c>
      <c r="C16" s="11">
        <v>1</v>
      </c>
      <c r="D16" s="11">
        <v>8.5</v>
      </c>
      <c r="E16" s="11">
        <v>8.5</v>
      </c>
      <c r="F16" s="11">
        <v>72</v>
      </c>
      <c r="G16" s="11">
        <v>72</v>
      </c>
      <c r="H16" s="11">
        <v>42</v>
      </c>
      <c r="I16" s="11">
        <v>50</v>
      </c>
      <c r="J16" s="11">
        <v>42</v>
      </c>
      <c r="K16" s="11">
        <v>11</v>
      </c>
      <c r="L16" s="11">
        <v>50</v>
      </c>
      <c r="M16" s="11">
        <v>11</v>
      </c>
      <c r="N16" s="11">
        <v>1</v>
      </c>
      <c r="R16" s="24" t="s">
        <v>10</v>
      </c>
      <c r="S16" s="25"/>
      <c r="T16" s="24"/>
      <c r="U16" s="12">
        <v>0.72</v>
      </c>
      <c r="V16" s="12"/>
      <c r="W16" s="25"/>
      <c r="X16" s="24"/>
      <c r="Y16" s="12">
        <f t="shared" ref="Y16:Y19" si="0">U16*1000</f>
        <v>720</v>
      </c>
      <c r="Z16" s="12"/>
      <c r="AA16" s="25"/>
      <c r="AF16" s="24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25"/>
      <c r="BB16" s="24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25"/>
    </row>
    <row r="17" spans="1:70" ht="15" thickBot="1" x14ac:dyDescent="0.4">
      <c r="B17" s="3" t="s">
        <v>7</v>
      </c>
      <c r="C17" s="11">
        <v>108</v>
      </c>
      <c r="D17" s="11">
        <v>108</v>
      </c>
      <c r="E17" s="11">
        <v>108</v>
      </c>
      <c r="F17" s="11">
        <v>108</v>
      </c>
      <c r="G17" s="11">
        <v>108</v>
      </c>
      <c r="H17" s="11">
        <v>108</v>
      </c>
      <c r="I17" s="11">
        <v>1.24</v>
      </c>
      <c r="J17" s="11">
        <v>109.24</v>
      </c>
      <c r="K17" s="11">
        <v>109.24</v>
      </c>
      <c r="L17" s="11">
        <v>1.29</v>
      </c>
      <c r="M17" s="11">
        <v>110.53</v>
      </c>
      <c r="N17" s="11">
        <v>110.53</v>
      </c>
      <c r="P17" s="79"/>
      <c r="R17" s="24" t="s">
        <v>17</v>
      </c>
      <c r="S17" s="25"/>
      <c r="T17" s="24"/>
      <c r="U17" s="12">
        <v>831.2</v>
      </c>
      <c r="V17" s="12"/>
      <c r="W17" s="25"/>
      <c r="X17" s="24"/>
      <c r="Y17" s="12">
        <f t="shared" si="0"/>
        <v>831200</v>
      </c>
      <c r="Z17" s="12"/>
      <c r="AA17" s="25"/>
      <c r="AF17" s="24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25"/>
      <c r="BB17" s="24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25"/>
    </row>
    <row r="18" spans="1:70" ht="15" thickBot="1" x14ac:dyDescent="0.4">
      <c r="A18" s="12"/>
      <c r="B18" s="3" t="s">
        <v>45</v>
      </c>
      <c r="C18" s="9">
        <v>3.7434493276231202</v>
      </c>
      <c r="D18" s="9">
        <v>3.7434493276231202</v>
      </c>
      <c r="E18" s="9">
        <v>3.7434493276231202</v>
      </c>
      <c r="F18" s="9">
        <v>3.7434493276231202</v>
      </c>
      <c r="G18" s="9">
        <v>3.7434493276231202</v>
      </c>
      <c r="H18" s="9">
        <v>3.7434493276231202</v>
      </c>
      <c r="I18" s="9">
        <v>7.7496909688119703E-2</v>
      </c>
      <c r="J18" s="34">
        <v>3.8209462373112402</v>
      </c>
      <c r="K18" s="34">
        <v>3.8209462373112402</v>
      </c>
      <c r="L18" s="9">
        <v>8.0213968935657104E-2</v>
      </c>
      <c r="M18" s="9">
        <v>3.9011602062469</v>
      </c>
      <c r="N18" s="9">
        <v>3.9011602062469</v>
      </c>
      <c r="R18" s="24" t="s">
        <v>18</v>
      </c>
      <c r="S18" s="25"/>
      <c r="T18" s="24"/>
      <c r="U18" s="12">
        <v>19.48</v>
      </c>
      <c r="V18" s="12"/>
      <c r="W18" s="25"/>
      <c r="X18" s="24"/>
      <c r="Y18" s="12">
        <f t="shared" si="0"/>
        <v>19480</v>
      </c>
      <c r="Z18" s="12"/>
      <c r="AA18" s="25"/>
      <c r="AF18" s="26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7"/>
      <c r="BB18" s="26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7"/>
    </row>
    <row r="19" spans="1:70" ht="15" thickBot="1" x14ac:dyDescent="0.4">
      <c r="B19" s="33" t="s">
        <v>59</v>
      </c>
      <c r="C19" s="49">
        <v>-8.0400313665207293</v>
      </c>
      <c r="D19" s="49">
        <v>-8.0400313665207293</v>
      </c>
      <c r="E19" s="49">
        <v>-8.0400313665207293</v>
      </c>
      <c r="F19" s="49">
        <v>-8.0400313665207293</v>
      </c>
      <c r="G19" s="49">
        <v>-8.0400313665207293</v>
      </c>
      <c r="H19" s="49">
        <v>-8.0400313665207293</v>
      </c>
      <c r="I19" s="13">
        <v>-74538.091890561205</v>
      </c>
      <c r="J19" s="13">
        <v>-17800.672753548301</v>
      </c>
      <c r="K19" s="13">
        <v>-17800.672753548301</v>
      </c>
      <c r="L19" s="13">
        <v>-74538.091890561205</v>
      </c>
      <c r="M19" s="13">
        <v>-35472.800164630396</v>
      </c>
      <c r="N19" s="13">
        <v>-35472.800164630396</v>
      </c>
      <c r="R19" s="26" t="s">
        <v>245</v>
      </c>
      <c r="S19" s="27"/>
      <c r="T19" s="26"/>
      <c r="U19" s="29">
        <v>9.5</v>
      </c>
      <c r="V19" s="29"/>
      <c r="W19" s="27"/>
      <c r="X19" s="26"/>
      <c r="Y19" s="29">
        <f t="shared" si="0"/>
        <v>9500</v>
      </c>
      <c r="Z19" s="29"/>
      <c r="AA19" s="27"/>
    </row>
    <row r="20" spans="1:70" ht="15" thickBot="1" x14ac:dyDescent="0.4">
      <c r="B20" s="33" t="s">
        <v>60</v>
      </c>
      <c r="C20" s="37">
        <v>4.3601378591915498</v>
      </c>
      <c r="D20" s="37">
        <v>4.3601378591915498</v>
      </c>
      <c r="E20" s="37">
        <v>4.3601378591915498</v>
      </c>
      <c r="F20" s="37">
        <v>4.3601378591915498</v>
      </c>
      <c r="G20" s="37">
        <v>4.3601378591915498</v>
      </c>
      <c r="H20" s="37">
        <v>4.3601378591915498</v>
      </c>
      <c r="I20" s="37">
        <v>-80.529823832677295</v>
      </c>
      <c r="J20" s="37">
        <v>4.1985981795045202</v>
      </c>
      <c r="K20" s="37">
        <v>4.1985981795045202</v>
      </c>
      <c r="L20" s="37">
        <v>-80.529823832677295</v>
      </c>
      <c r="M20" s="37">
        <v>3.2382238534130199</v>
      </c>
      <c r="N20" s="37">
        <v>3.2382238534130199</v>
      </c>
      <c r="P20" s="79"/>
    </row>
    <row r="21" spans="1:70" ht="15" thickBot="1" x14ac:dyDescent="0.4">
      <c r="B21" s="33" t="s">
        <v>58</v>
      </c>
      <c r="C21" s="47">
        <f t="shared" ref="C21:N21" si="1">C19/C27</f>
        <v>-0.27868009271361882</v>
      </c>
      <c r="D21" s="47">
        <f t="shared" si="1"/>
        <v>-0.27868009271361882</v>
      </c>
      <c r="E21" s="47">
        <f t="shared" si="1"/>
        <v>-0.27868009271361882</v>
      </c>
      <c r="F21" s="47">
        <f t="shared" si="1"/>
        <v>-0.27868009271361882</v>
      </c>
      <c r="G21" s="47">
        <f t="shared" si="1"/>
        <v>-0.27868009271361882</v>
      </c>
      <c r="H21" s="47">
        <f t="shared" si="1"/>
        <v>-0.27868009271361882</v>
      </c>
      <c r="I21" s="47">
        <f t="shared" si="1"/>
        <v>-4646.2137369480815</v>
      </c>
      <c r="J21" s="47">
        <f t="shared" si="1"/>
        <v>-622.60510065187816</v>
      </c>
      <c r="K21" s="47">
        <f t="shared" si="1"/>
        <v>-622.60510065187816</v>
      </c>
      <c r="L21" s="47">
        <f t="shared" si="1"/>
        <v>-4646.2137369480815</v>
      </c>
      <c r="M21" s="47">
        <f t="shared" si="1"/>
        <v>-1252.0123882395051</v>
      </c>
      <c r="N21" s="47">
        <f t="shared" si="1"/>
        <v>-1252.0123882395051</v>
      </c>
      <c r="P21" s="80"/>
      <c r="R21" t="s">
        <v>227</v>
      </c>
      <c r="V21" t="s">
        <v>224</v>
      </c>
    </row>
    <row r="22" spans="1:70" ht="15" thickBot="1" x14ac:dyDescent="0.4">
      <c r="B22" s="33" t="s">
        <v>61</v>
      </c>
      <c r="C22" s="47">
        <f t="shared" ref="C22:N22" si="2">C20/C27</f>
        <v>0.15112921423458078</v>
      </c>
      <c r="D22" s="47">
        <f t="shared" si="2"/>
        <v>0.15112921423458078</v>
      </c>
      <c r="E22" s="47">
        <f t="shared" si="2"/>
        <v>0.15112921423458078</v>
      </c>
      <c r="F22" s="47">
        <f t="shared" si="2"/>
        <v>0.15112921423458078</v>
      </c>
      <c r="G22" s="47">
        <f t="shared" si="2"/>
        <v>0.15112921423458078</v>
      </c>
      <c r="H22" s="47">
        <f t="shared" si="2"/>
        <v>0.15112921423458078</v>
      </c>
      <c r="I22" s="47">
        <f t="shared" si="2"/>
        <v>-5.0196988443807227</v>
      </c>
      <c r="J22" s="47">
        <f t="shared" si="2"/>
        <v>0.14685223858329333</v>
      </c>
      <c r="K22" s="47">
        <f t="shared" si="2"/>
        <v>0.14685223858329333</v>
      </c>
      <c r="L22" s="47">
        <f t="shared" si="2"/>
        <v>-5.0196988443807227</v>
      </c>
      <c r="M22" s="47">
        <f t="shared" si="2"/>
        <v>0.11429310236433689</v>
      </c>
      <c r="N22" s="47">
        <f t="shared" si="2"/>
        <v>0.11429310236433689</v>
      </c>
      <c r="P22" s="80"/>
      <c r="R22" t="s">
        <v>246</v>
      </c>
      <c r="S22">
        <v>298.14999999999998</v>
      </c>
      <c r="T22" t="s">
        <v>231</v>
      </c>
      <c r="V22" t="s">
        <v>236</v>
      </c>
      <c r="W22">
        <v>8.3140000000000001</v>
      </c>
      <c r="X22" t="s">
        <v>248</v>
      </c>
      <c r="AF22" s="54" t="s">
        <v>77</v>
      </c>
      <c r="BB22" s="22" t="s">
        <v>35</v>
      </c>
      <c r="BC22" s="23"/>
    </row>
    <row r="23" spans="1:70" ht="15" thickBot="1" x14ac:dyDescent="0.4">
      <c r="B23" s="33" t="s">
        <v>110</v>
      </c>
      <c r="C23" s="47">
        <f>C25*C27</f>
        <v>-8.0400286916959995</v>
      </c>
      <c r="D23" s="47">
        <f t="shared" ref="D23:N23" si="3">D25*D27</f>
        <v>8093.6615800907994</v>
      </c>
      <c r="E23" s="47">
        <f t="shared" si="3"/>
        <v>80.629070566755999</v>
      </c>
      <c r="F23" s="47">
        <f t="shared" si="3"/>
        <v>8382.9156624179996</v>
      </c>
      <c r="G23" s="47">
        <f t="shared" si="3"/>
        <v>-27.788616031848399</v>
      </c>
      <c r="H23" s="47">
        <f t="shared" si="3"/>
        <v>-27.788327527876401</v>
      </c>
      <c r="I23" s="47">
        <f t="shared" si="3"/>
        <v>-75430.330250800005</v>
      </c>
      <c r="J23" s="47">
        <f t="shared" si="3"/>
        <v>-1260.5752205026588</v>
      </c>
      <c r="K23" s="47">
        <f t="shared" si="3"/>
        <v>-7089.9618813733186</v>
      </c>
      <c r="L23" s="47">
        <f t="shared" si="3"/>
        <v>-75430.330250800005</v>
      </c>
      <c r="M23" s="47">
        <f t="shared" si="3"/>
        <v>-8173.1412823157989</v>
      </c>
      <c r="N23" s="47">
        <f t="shared" si="3"/>
        <v>-19987.705134554937</v>
      </c>
      <c r="R23" t="s">
        <v>247</v>
      </c>
      <c r="S23">
        <v>1</v>
      </c>
      <c r="T23" t="s">
        <v>233</v>
      </c>
      <c r="AF23" s="22"/>
      <c r="BB23" s="22"/>
      <c r="BC23" s="28"/>
    </row>
    <row r="24" spans="1:70" ht="15" thickBot="1" x14ac:dyDescent="0.4">
      <c r="B24" s="33" t="s">
        <v>111</v>
      </c>
      <c r="C24" s="47">
        <v>4.3601378591915596</v>
      </c>
      <c r="D24" s="47">
        <v>5.8117402504957401</v>
      </c>
      <c r="E24" s="47">
        <v>-13.0926293407065</v>
      </c>
      <c r="F24" s="47">
        <v>-11.6329440438947</v>
      </c>
      <c r="G24" s="47">
        <v>-31.056554902834399</v>
      </c>
      <c r="H24" s="47">
        <v>-26.638053681453702</v>
      </c>
      <c r="I24" s="47">
        <v>-115.18523739835599</v>
      </c>
      <c r="J24" s="47">
        <v>4.1592769802753304</v>
      </c>
      <c r="K24" s="47">
        <v>6.1160210915697899</v>
      </c>
      <c r="L24" s="47">
        <v>-115.18523739835599</v>
      </c>
      <c r="M24" s="47">
        <v>24.7305368581168</v>
      </c>
      <c r="N24" s="47">
        <v>28.608115382629801</v>
      </c>
      <c r="AF24" s="22"/>
      <c r="BB24" s="22"/>
      <c r="BC24" s="28"/>
    </row>
    <row r="25" spans="1:70" ht="15" thickBot="1" x14ac:dyDescent="0.4">
      <c r="B25" s="3" t="s">
        <v>68</v>
      </c>
      <c r="C25" s="35">
        <v>-0.27867999999999998</v>
      </c>
      <c r="D25" s="10">
        <v>280.53899999999999</v>
      </c>
      <c r="E25" s="10">
        <v>2.7947299999999999</v>
      </c>
      <c r="F25" s="10">
        <v>290.565</v>
      </c>
      <c r="G25" s="10">
        <v>-0.96319699999999997</v>
      </c>
      <c r="H25" s="10">
        <v>-0.96318700000000002</v>
      </c>
      <c r="I25" s="36">
        <v>-4701.83</v>
      </c>
      <c r="J25" s="10">
        <v>-44.090499999999999</v>
      </c>
      <c r="K25" s="10">
        <v>-247.982</v>
      </c>
      <c r="L25" s="36">
        <v>-4701.83</v>
      </c>
      <c r="M25" s="10">
        <v>-288.471</v>
      </c>
      <c r="N25" s="10">
        <v>-705.46600000000001</v>
      </c>
      <c r="AF25" s="22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3"/>
      <c r="BB25" s="22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3"/>
    </row>
    <row r="26" spans="1:70" ht="21.5" thickBot="1" x14ac:dyDescent="0.55000000000000004">
      <c r="B26" s="3" t="s">
        <v>69</v>
      </c>
      <c r="C26" s="10">
        <v>0.15112899999999999</v>
      </c>
      <c r="D26" s="10">
        <v>0.20144399999999998</v>
      </c>
      <c r="E26" s="10">
        <v>-0.45381099999999996</v>
      </c>
      <c r="F26" s="10">
        <v>-0.40321600000000002</v>
      </c>
      <c r="G26" s="10">
        <v>-1.07647</v>
      </c>
      <c r="H26" s="10">
        <v>-0.92331700000000005</v>
      </c>
      <c r="I26" s="11">
        <v>-7.1798900000000003</v>
      </c>
      <c r="J26" s="10">
        <v>7.55005E-3</v>
      </c>
      <c r="K26" s="10">
        <v>7.6105400000000004E-2</v>
      </c>
      <c r="L26" s="11">
        <v>-7.1798900000000003</v>
      </c>
      <c r="M26" s="10">
        <v>0.67991999999999997</v>
      </c>
      <c r="N26" s="10">
        <v>0.817581</v>
      </c>
      <c r="AF26" s="24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51" t="s">
        <v>86</v>
      </c>
      <c r="AU26" s="12" t="s">
        <v>85</v>
      </c>
      <c r="AV26" s="12"/>
      <c r="AW26" s="12"/>
      <c r="AX26" s="25"/>
      <c r="BB26" s="24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51" t="s">
        <v>86</v>
      </c>
      <c r="BQ26" s="12"/>
      <c r="BR26" s="25"/>
    </row>
    <row r="27" spans="1:70" ht="15" thickBot="1" x14ac:dyDescent="0.4">
      <c r="B27" s="3" t="s">
        <v>133</v>
      </c>
      <c r="C27" s="10">
        <v>28.8503972</v>
      </c>
      <c r="D27" s="10">
        <v>28.8503972</v>
      </c>
      <c r="E27" s="10">
        <v>28.8503972</v>
      </c>
      <c r="F27" s="10">
        <v>28.8503972</v>
      </c>
      <c r="G27" s="10">
        <v>28.8503972</v>
      </c>
      <c r="H27" s="10">
        <v>28.8503972</v>
      </c>
      <c r="I27" s="10">
        <v>16.042760000000001</v>
      </c>
      <c r="J27" s="11">
        <v>28.590631099730299</v>
      </c>
      <c r="K27" s="10">
        <v>28.590631099730299</v>
      </c>
      <c r="L27" s="10">
        <v>16.042760000000001</v>
      </c>
      <c r="M27" s="10">
        <v>28.332627135191402</v>
      </c>
      <c r="N27" s="11">
        <v>28.332627135191402</v>
      </c>
      <c r="AF27" s="24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31">
        <f>-E56-E17*((F38+F40)-(E38+E40))</f>
        <v>2263.4366005644151</v>
      </c>
      <c r="AU27" s="12"/>
      <c r="AV27" s="12"/>
      <c r="AW27" s="12"/>
      <c r="AX27" s="25"/>
      <c r="BB27" s="24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31">
        <f>-F17*((G38+G40)-(F38+F40))</f>
        <v>9806.1182021967579</v>
      </c>
      <c r="BQ27" s="12"/>
      <c r="BR27" s="25"/>
    </row>
    <row r="28" spans="1:70" ht="15" thickBot="1" x14ac:dyDescent="0.4">
      <c r="B28" s="3" t="s">
        <v>249</v>
      </c>
      <c r="C28" s="10">
        <f>$W$22/C27</f>
        <v>0.28817627509128368</v>
      </c>
      <c r="D28" s="10">
        <f t="shared" ref="D28:N28" si="4">$W$22/D27</f>
        <v>0.28817627509128368</v>
      </c>
      <c r="E28" s="10">
        <f t="shared" si="4"/>
        <v>0.28817627509128368</v>
      </c>
      <c r="F28" s="10">
        <f t="shared" si="4"/>
        <v>0.28817627509128368</v>
      </c>
      <c r="G28" s="10">
        <f t="shared" si="4"/>
        <v>0.28817627509128368</v>
      </c>
      <c r="H28" s="10">
        <f t="shared" si="4"/>
        <v>0.28817627509128368</v>
      </c>
      <c r="I28" s="10">
        <f t="shared" si="4"/>
        <v>0.51824000359040456</v>
      </c>
      <c r="J28" s="10">
        <f t="shared" si="4"/>
        <v>0.29079456032288942</v>
      </c>
      <c r="K28" s="10">
        <f t="shared" si="4"/>
        <v>0.29079456032288942</v>
      </c>
      <c r="L28" s="10">
        <f t="shared" si="4"/>
        <v>0.51824000359040456</v>
      </c>
      <c r="M28" s="10">
        <f t="shared" si="4"/>
        <v>0.29344260806910288</v>
      </c>
      <c r="N28" s="10">
        <f t="shared" si="4"/>
        <v>0.29344260806910288</v>
      </c>
      <c r="AF28" s="24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42">
        <f>-E56-(F50-E50)</f>
        <v>2263.4366005644151</v>
      </c>
      <c r="AU28" s="12"/>
      <c r="AV28" s="12"/>
      <c r="AW28" s="12"/>
      <c r="AX28" s="25"/>
      <c r="BB28" s="24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42">
        <f>-(G50-F50)</f>
        <v>9806.1182021967543</v>
      </c>
      <c r="BQ28" s="12"/>
      <c r="BR28" s="25"/>
    </row>
    <row r="29" spans="1:70" ht="15" thickBot="1" x14ac:dyDescent="0.4">
      <c r="A29" s="3" t="s">
        <v>66</v>
      </c>
      <c r="B29" s="40" t="s">
        <v>17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48">
        <v>1</v>
      </c>
      <c r="J29" s="14">
        <v>7.29846E-78</v>
      </c>
      <c r="K29" s="14">
        <v>7.29846E-78</v>
      </c>
      <c r="L29" s="44">
        <v>1</v>
      </c>
      <c r="M29" s="14">
        <v>1.0510800000000001E-63</v>
      </c>
      <c r="N29" s="14">
        <v>1.0510800000000001E-63</v>
      </c>
      <c r="AF29" s="24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25"/>
      <c r="BB29" s="24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25"/>
    </row>
    <row r="30" spans="1:70" ht="15" thickBot="1" x14ac:dyDescent="0.4">
      <c r="B30" s="41" t="s">
        <v>9</v>
      </c>
      <c r="C30" s="3">
        <v>0.21</v>
      </c>
      <c r="D30" s="3">
        <v>0.21</v>
      </c>
      <c r="E30" s="3">
        <v>0.21</v>
      </c>
      <c r="F30" s="3">
        <v>0.21</v>
      </c>
      <c r="G30" s="3">
        <v>0.21</v>
      </c>
      <c r="H30" s="3">
        <v>0.21</v>
      </c>
      <c r="I30" s="37">
        <v>0</v>
      </c>
      <c r="J30" s="3">
        <v>0.16517699999999999</v>
      </c>
      <c r="K30" s="3">
        <v>0.16517699999999999</v>
      </c>
      <c r="L30" s="37">
        <v>0</v>
      </c>
      <c r="M30" s="3">
        <v>0.120657</v>
      </c>
      <c r="N30" s="3">
        <v>0.120657</v>
      </c>
      <c r="AF30" s="24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25"/>
      <c r="BB30" s="24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25"/>
    </row>
    <row r="31" spans="1:70" ht="15" thickBot="1" x14ac:dyDescent="0.4">
      <c r="B31" s="40" t="s">
        <v>10</v>
      </c>
      <c r="C31" s="3">
        <v>0.79</v>
      </c>
      <c r="D31" s="3">
        <v>0.79</v>
      </c>
      <c r="E31" s="3">
        <v>0.79</v>
      </c>
      <c r="F31" s="3">
        <v>0.79</v>
      </c>
      <c r="G31" s="3">
        <v>0.79</v>
      </c>
      <c r="H31" s="3">
        <v>0.79</v>
      </c>
      <c r="I31" s="48">
        <v>0</v>
      </c>
      <c r="J31" s="3">
        <v>0.77397700000000003</v>
      </c>
      <c r="K31" s="3">
        <v>0.77397700000000003</v>
      </c>
      <c r="L31" s="43">
        <v>0</v>
      </c>
      <c r="M31" s="3">
        <v>0.75806300000000004</v>
      </c>
      <c r="N31" s="3">
        <v>0.75806300000000004</v>
      </c>
      <c r="AF31" s="24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25"/>
      <c r="BB31" s="24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25"/>
    </row>
    <row r="32" spans="1:70" ht="15" thickBot="1" x14ac:dyDescent="0.4">
      <c r="B32" s="40" t="s">
        <v>18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7">
        <v>0</v>
      </c>
      <c r="J32" s="3">
        <v>2.0282100000000001E-2</v>
      </c>
      <c r="K32" s="3">
        <v>2.0282100000000001E-2</v>
      </c>
      <c r="L32" s="37">
        <v>0</v>
      </c>
      <c r="M32" s="3">
        <v>4.0426700000000003E-2</v>
      </c>
      <c r="N32" s="3">
        <v>4.0426700000000003E-2</v>
      </c>
      <c r="AF32" s="24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25"/>
      <c r="BB32" s="24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25"/>
    </row>
    <row r="33" spans="1:70" ht="15" thickBot="1" x14ac:dyDescent="0.4">
      <c r="B33" s="40" t="s">
        <v>16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48">
        <v>0</v>
      </c>
      <c r="J33" s="3">
        <v>4.0564299999999998E-2</v>
      </c>
      <c r="K33" s="3">
        <v>4.0564299999999998E-2</v>
      </c>
      <c r="L33" s="43">
        <v>0</v>
      </c>
      <c r="M33" s="3">
        <v>8.0853300000000003E-2</v>
      </c>
      <c r="N33" s="3">
        <v>8.0853300000000003E-2</v>
      </c>
      <c r="AF33" s="24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25"/>
      <c r="BB33" s="24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25"/>
    </row>
    <row r="34" spans="1:70" ht="15" thickBot="1" x14ac:dyDescent="0.4">
      <c r="AF34" s="24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25"/>
      <c r="BB34" s="24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25"/>
    </row>
    <row r="35" spans="1:70" ht="15" thickBot="1" x14ac:dyDescent="0.4">
      <c r="B35" s="128" t="s">
        <v>57</v>
      </c>
      <c r="C35" s="4">
        <v>0</v>
      </c>
      <c r="D35" s="4">
        <f t="shared" ref="D35:N35" si="5">(D25-D21)-298.15*(D26-D22)</f>
        <v>265.81632671675385</v>
      </c>
      <c r="E35" s="4">
        <f t="shared" si="5"/>
        <v>183.43633496675386</v>
      </c>
      <c r="F35" s="4">
        <f t="shared" si="5"/>
        <v>456.12170571675387</v>
      </c>
      <c r="G35" s="4">
        <f t="shared" si="5"/>
        <v>365.32418881675386</v>
      </c>
      <c r="H35" s="4">
        <f t="shared" si="5"/>
        <v>319.66163186675385</v>
      </c>
      <c r="I35" s="4">
        <f t="shared" si="5"/>
        <v>588.44472999596917</v>
      </c>
      <c r="J35" s="4">
        <f t="shared" si="5"/>
        <v>620.04754817798698</v>
      </c>
      <c r="K35" s="4">
        <f t="shared" si="5"/>
        <v>395.7162705754871</v>
      </c>
      <c r="L35" s="4">
        <f t="shared" si="5"/>
        <v>588.44472999596917</v>
      </c>
      <c r="M35" s="4">
        <f t="shared" si="5"/>
        <v>794.89972870943211</v>
      </c>
      <c r="N35" s="4">
        <f t="shared" si="5"/>
        <v>336.86110155943209</v>
      </c>
      <c r="P35" s="60"/>
      <c r="Q35" t="s">
        <v>75</v>
      </c>
      <c r="AF35" s="24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25"/>
      <c r="BB35" s="24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25"/>
    </row>
    <row r="36" spans="1:70" ht="15" thickBot="1" x14ac:dyDescent="0.4">
      <c r="B36" s="128" t="s">
        <v>109</v>
      </c>
      <c r="C36" s="4">
        <f>0</f>
        <v>0</v>
      </c>
      <c r="D36" s="4">
        <f t="shared" ref="D36:N36" si="6">(D23-D19)-298.15*(D24-D20)</f>
        <v>7668.9063584899759</v>
      </c>
      <c r="E36" s="4">
        <f t="shared" si="6"/>
        <v>5292.211642582879</v>
      </c>
      <c r="F36" s="4">
        <f t="shared" si="6"/>
        <v>13159.293063189685</v>
      </c>
      <c r="G36" s="4">
        <f t="shared" si="6"/>
        <v>10539.738362332708</v>
      </c>
      <c r="H36" s="4">
        <f t="shared" si="6"/>
        <v>9222.3625116820258</v>
      </c>
      <c r="I36" s="4">
        <f t="shared" si="6"/>
        <v>9440.2731943683029</v>
      </c>
      <c r="J36" s="4">
        <f t="shared" si="6"/>
        <v>16551.821148595824</v>
      </c>
      <c r="K36" s="4">
        <f t="shared" si="6"/>
        <v>10139.031230942723</v>
      </c>
      <c r="L36" s="4">
        <f t="shared" si="6"/>
        <v>9440.2731943683029</v>
      </c>
      <c r="M36" s="4">
        <f t="shared" si="6"/>
        <v>20891.725759962166</v>
      </c>
      <c r="N36" s="4">
        <f t="shared" si="6"/>
        <v>7921.0618706394771</v>
      </c>
      <c r="P36" s="61"/>
      <c r="AF36" s="24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25"/>
      <c r="BB36" s="24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25"/>
    </row>
    <row r="37" spans="1:70" ht="15" thickBot="1" x14ac:dyDescent="0.4">
      <c r="B37" s="133" t="s">
        <v>70</v>
      </c>
      <c r="C37" s="134">
        <v>-32.612403661317998</v>
      </c>
      <c r="D37" s="134">
        <v>7636.2824756904802</v>
      </c>
      <c r="E37" s="134">
        <v>5259.5992961941402</v>
      </c>
      <c r="F37" s="134">
        <v>13126.666757778999</v>
      </c>
      <c r="G37" s="134">
        <v>10507.125969598201</v>
      </c>
      <c r="H37" s="134">
        <v>9189.7498304435703</v>
      </c>
      <c r="I37" s="134">
        <v>9407.6471202105695</v>
      </c>
      <c r="J37" s="134">
        <v>16231.884867839701</v>
      </c>
      <c r="K37" s="134">
        <v>9020.5355989419404</v>
      </c>
      <c r="L37" s="134">
        <v>9407.6471202105695</v>
      </c>
      <c r="M37" s="134">
        <v>19560.976538076098</v>
      </c>
      <c r="N37" s="134">
        <v>4316.2893533759498</v>
      </c>
      <c r="AF37" s="24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25"/>
      <c r="BB37" s="24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25"/>
    </row>
    <row r="38" spans="1:70" ht="15" thickBot="1" x14ac:dyDescent="0.4">
      <c r="B38" s="133" t="s">
        <v>71</v>
      </c>
      <c r="C38" s="134">
        <v>0</v>
      </c>
      <c r="D38" s="134">
        <f t="shared" ref="D38:N38" si="7">D37/D27</f>
        <v>264.68552314040517</v>
      </c>
      <c r="E38" s="134">
        <f t="shared" si="7"/>
        <v>182.30595786023147</v>
      </c>
      <c r="F38" s="134">
        <f t="shared" si="7"/>
        <v>454.99085044759801</v>
      </c>
      <c r="G38" s="134">
        <f t="shared" si="7"/>
        <v>364.19345968651692</v>
      </c>
      <c r="H38" s="134">
        <f t="shared" si="7"/>
        <v>318.53113725739519</v>
      </c>
      <c r="I38" s="134">
        <f t="shared" si="7"/>
        <v>586.41076225104462</v>
      </c>
      <c r="J38" s="134">
        <f t="shared" si="7"/>
        <v>567.73440261669566</v>
      </c>
      <c r="K38" s="134">
        <f t="shared" si="7"/>
        <v>315.50669754285462</v>
      </c>
      <c r="L38" s="134">
        <f t="shared" si="7"/>
        <v>586.41076225104462</v>
      </c>
      <c r="M38" s="134">
        <f t="shared" si="7"/>
        <v>690.40461531291578</v>
      </c>
      <c r="N38" s="134">
        <f t="shared" si="7"/>
        <v>152.34342134177777</v>
      </c>
      <c r="AF38" s="24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25"/>
      <c r="BB38" s="24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25"/>
    </row>
    <row r="39" spans="1:70" ht="15" thickBot="1" x14ac:dyDescent="0.4">
      <c r="AF39" s="24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25"/>
      <c r="BB39" s="24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25"/>
    </row>
    <row r="40" spans="1:70" ht="15" thickBot="1" x14ac:dyDescent="0.4">
      <c r="A40" s="54" t="s">
        <v>241</v>
      </c>
      <c r="B40" s="128" t="s">
        <v>74</v>
      </c>
      <c r="C40" s="4">
        <f t="shared" ref="C40:N40" si="8">C21-298.15*C22</f>
        <v>-45.337855316753881</v>
      </c>
      <c r="D40" s="4">
        <f t="shared" si="8"/>
        <v>-45.337855316753881</v>
      </c>
      <c r="E40" s="4">
        <f t="shared" si="8"/>
        <v>-45.337855316753881</v>
      </c>
      <c r="F40" s="4">
        <f t="shared" si="8"/>
        <v>-45.337855316753881</v>
      </c>
      <c r="G40" s="4">
        <f t="shared" si="8"/>
        <v>-45.337855316753881</v>
      </c>
      <c r="H40" s="4">
        <f t="shared" si="8"/>
        <v>-45.337855316753881</v>
      </c>
      <c r="I40" s="4">
        <f t="shared" si="8"/>
        <v>-3149.5905264959692</v>
      </c>
      <c r="J40" s="4">
        <f t="shared" si="8"/>
        <v>-666.3890955854871</v>
      </c>
      <c r="K40" s="4">
        <f t="shared" si="8"/>
        <v>-666.3890955854871</v>
      </c>
      <c r="L40" s="4">
        <f t="shared" si="8"/>
        <v>-3149.5905264959692</v>
      </c>
      <c r="M40" s="4">
        <f t="shared" si="8"/>
        <v>-1286.088876709432</v>
      </c>
      <c r="N40" s="4">
        <f t="shared" si="8"/>
        <v>-1286.088876709432</v>
      </c>
      <c r="AF40" s="2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25"/>
      <c r="BB40" s="24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25"/>
    </row>
    <row r="41" spans="1:70" ht="15" thickBot="1" x14ac:dyDescent="0.4">
      <c r="A41" s="59"/>
      <c r="B41" s="4" t="s">
        <v>112</v>
      </c>
      <c r="C41" s="4">
        <f>C19-298.15*C20</f>
        <v>-1308.0151340844811</v>
      </c>
      <c r="D41" s="4">
        <f t="shared" ref="D41:N41" si="9">D19-298.15*D20</f>
        <v>-1308.0151340844811</v>
      </c>
      <c r="E41" s="4">
        <f t="shared" si="9"/>
        <v>-1308.0151340844811</v>
      </c>
      <c r="F41" s="4">
        <f t="shared" si="9"/>
        <v>-1308.0151340844811</v>
      </c>
      <c r="G41" s="4">
        <f t="shared" si="9"/>
        <v>-1308.0151340844811</v>
      </c>
      <c r="H41" s="4">
        <f t="shared" si="9"/>
        <v>-1308.0151340844811</v>
      </c>
      <c r="I41" s="4">
        <f t="shared" si="9"/>
        <v>-50528.124914848471</v>
      </c>
      <c r="J41" s="4">
        <f t="shared" si="9"/>
        <v>-19052.484800767572</v>
      </c>
      <c r="K41" s="4">
        <f t="shared" si="9"/>
        <v>-19052.484800767572</v>
      </c>
      <c r="L41" s="4">
        <f t="shared" si="9"/>
        <v>-50528.124914848471</v>
      </c>
      <c r="M41" s="4">
        <f t="shared" si="9"/>
        <v>-36438.276606525491</v>
      </c>
      <c r="N41" s="4">
        <f t="shared" si="9"/>
        <v>-36438.276606525491</v>
      </c>
      <c r="AF41" s="24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25"/>
      <c r="BB41" s="24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25"/>
    </row>
    <row r="42" spans="1:70" ht="15" thickBot="1" x14ac:dyDescent="0.4">
      <c r="B42" s="134" t="s">
        <v>242</v>
      </c>
      <c r="C42" s="134">
        <f>(Y15*C30+Y16*C31)+$W$22*S22*(C30*LN(C30)+C31*LN(C31))</f>
        <v>128.49438830161262</v>
      </c>
      <c r="D42" s="134">
        <v>128.49438830161262</v>
      </c>
      <c r="E42" s="134">
        <v>128.49438830161262</v>
      </c>
      <c r="F42" s="134">
        <v>128.49438830161262</v>
      </c>
      <c r="G42" s="134">
        <v>128.49438830161262</v>
      </c>
      <c r="H42" s="134">
        <v>128.49438830161262</v>
      </c>
      <c r="I42" s="134">
        <f>(Y17*I29)+W22*S22*(I29*LN(I29))</f>
        <v>831200</v>
      </c>
      <c r="J42" s="135">
        <f>(Y15*J30+Y16*J31+Y17*J29+Y18*J32+Y19*J33)+W22*S22*(J29*LN(J29)+J30*LN(J30)+J31*LN(J31)+J32*LN(J32)+J33*LN(J33))</f>
        <v>246.38410008939195</v>
      </c>
      <c r="K42" s="134">
        <v>246.38410008939195</v>
      </c>
      <c r="L42" s="134">
        <v>831200</v>
      </c>
      <c r="M42" s="135">
        <f>(Y15*M30+Y16*M31+Y17*M29+Y18*M32+Y19*M33)+W22*S22*(M29*LN(M29)+M30*LN(M30)+M31*LN(M31)+M32*LN(M32)+M33*LN(M33))</f>
        <v>601.84859871334038</v>
      </c>
      <c r="N42" s="134">
        <v>601.84859871334038</v>
      </c>
      <c r="AF42" s="24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25"/>
      <c r="BB42" s="24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25"/>
    </row>
    <row r="43" spans="1:70" ht="15" thickBot="1" x14ac:dyDescent="0.4">
      <c r="B43" s="134" t="s">
        <v>250</v>
      </c>
      <c r="C43" s="134">
        <f>C42/C27</f>
        <v>4.4538169582501492</v>
      </c>
      <c r="D43" s="134">
        <v>4.4538169582501492</v>
      </c>
      <c r="E43" s="134">
        <v>4.4538169582501492</v>
      </c>
      <c r="F43" s="134">
        <v>4.4538169582501492</v>
      </c>
      <c r="G43" s="134">
        <v>4.4538169582501492</v>
      </c>
      <c r="H43" s="134">
        <v>4.4538169582501492</v>
      </c>
      <c r="I43" s="134">
        <f>I42/I27</f>
        <v>51811.533676250219</v>
      </c>
      <c r="J43" s="135">
        <f>J42/J27</f>
        <v>8.6176516786198594</v>
      </c>
      <c r="K43" s="134">
        <v>8.6176516786198594</v>
      </c>
      <c r="L43" s="134">
        <v>51811.533676250219</v>
      </c>
      <c r="M43" s="135">
        <f>M42/N27</f>
        <v>21.242244704014617</v>
      </c>
      <c r="N43" s="134">
        <v>21.242244704014617</v>
      </c>
      <c r="AF43" s="24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25"/>
      <c r="BB43" s="24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25"/>
    </row>
    <row r="44" spans="1:70" ht="15" thickBot="1" x14ac:dyDescent="0.4">
      <c r="B44" s="4" t="s">
        <v>122</v>
      </c>
      <c r="C44" s="4">
        <f>C38+C40</f>
        <v>-45.337855316753881</v>
      </c>
      <c r="D44" s="4">
        <f t="shared" ref="D44:N44" si="10">D38+D40</f>
        <v>219.34766782365128</v>
      </c>
      <c r="E44" s="4">
        <f t="shared" si="10"/>
        <v>136.96810254347758</v>
      </c>
      <c r="F44" s="4">
        <f t="shared" si="10"/>
        <v>409.65299513084415</v>
      </c>
      <c r="G44" s="4">
        <f t="shared" si="10"/>
        <v>318.85560436976306</v>
      </c>
      <c r="H44" s="4">
        <f t="shared" si="10"/>
        <v>273.19328194064133</v>
      </c>
      <c r="I44" s="4">
        <f t="shared" si="10"/>
        <v>-2563.1797642449246</v>
      </c>
      <c r="J44" s="4">
        <f t="shared" si="10"/>
        <v>-98.654692968791437</v>
      </c>
      <c r="K44" s="4">
        <f t="shared" si="10"/>
        <v>-350.88239804263247</v>
      </c>
      <c r="L44" s="4">
        <f t="shared" si="10"/>
        <v>-2563.1797642449246</v>
      </c>
      <c r="M44" s="4">
        <f t="shared" si="10"/>
        <v>-595.68426139651626</v>
      </c>
      <c r="N44" s="4">
        <f t="shared" si="10"/>
        <v>-1133.7454553676544</v>
      </c>
      <c r="AF44" s="26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7"/>
      <c r="BB44" s="26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7"/>
    </row>
    <row r="45" spans="1:70" ht="15" thickBot="1" x14ac:dyDescent="0.4">
      <c r="B45" s="4" t="s">
        <v>123</v>
      </c>
      <c r="C45" s="4">
        <f>C37+C41</f>
        <v>-1340.6275377457991</v>
      </c>
      <c r="D45" s="4">
        <f t="shared" ref="D45:N45" si="11">D37+D41</f>
        <v>6328.2673416059988</v>
      </c>
      <c r="E45" s="4">
        <f t="shared" si="11"/>
        <v>3951.5841621096588</v>
      </c>
      <c r="F45" s="4">
        <f t="shared" si="11"/>
        <v>11818.651623694519</v>
      </c>
      <c r="G45" s="4">
        <f t="shared" si="11"/>
        <v>9199.1108355137203</v>
      </c>
      <c r="H45" s="4">
        <f t="shared" si="11"/>
        <v>7881.734696359089</v>
      </c>
      <c r="I45" s="4">
        <f t="shared" si="11"/>
        <v>-41120.477794637904</v>
      </c>
      <c r="J45" s="4">
        <f t="shared" si="11"/>
        <v>-2820.5999329278711</v>
      </c>
      <c r="K45" s="4">
        <f t="shared" si="11"/>
        <v>-10031.949201825631</v>
      </c>
      <c r="L45" s="4">
        <f t="shared" si="11"/>
        <v>-41120.477794637904</v>
      </c>
      <c r="M45" s="4">
        <f t="shared" si="11"/>
        <v>-16877.300068449393</v>
      </c>
      <c r="N45" s="4">
        <f t="shared" si="11"/>
        <v>-32121.987253149542</v>
      </c>
    </row>
    <row r="46" spans="1:70" ht="15" thickBot="1" x14ac:dyDescent="0.4">
      <c r="B46" s="4" t="s">
        <v>124</v>
      </c>
      <c r="C46" s="4">
        <f>C44*C17</f>
        <v>-4896.4883742094189</v>
      </c>
      <c r="D46" s="4">
        <f t="shared" ref="D46:N46" si="12">D44*D17</f>
        <v>23689.548124954337</v>
      </c>
      <c r="E46" s="4">
        <f t="shared" si="12"/>
        <v>14792.55507469558</v>
      </c>
      <c r="F46" s="4">
        <f t="shared" si="12"/>
        <v>44242.523474131165</v>
      </c>
      <c r="G46" s="4">
        <f t="shared" si="12"/>
        <v>34436.405271934411</v>
      </c>
      <c r="H46" s="4">
        <f t="shared" si="12"/>
        <v>29504.874449589264</v>
      </c>
      <c r="I46" s="4">
        <f t="shared" si="12"/>
        <v>-3178.3429076637067</v>
      </c>
      <c r="J46" s="4">
        <f t="shared" si="12"/>
        <v>-10777.038659910777</v>
      </c>
      <c r="K46" s="4">
        <f t="shared" si="12"/>
        <v>-38330.39316217717</v>
      </c>
      <c r="L46" s="4">
        <f t="shared" si="12"/>
        <v>-3306.5018958759529</v>
      </c>
      <c r="M46" s="4">
        <f t="shared" si="12"/>
        <v>-65840.981412156936</v>
      </c>
      <c r="N46" s="4">
        <f t="shared" si="12"/>
        <v>-125312.88518178684</v>
      </c>
    </row>
    <row r="47" spans="1:70" ht="15" thickBot="1" x14ac:dyDescent="0.4">
      <c r="B47" s="4" t="s">
        <v>124</v>
      </c>
      <c r="C47" s="103">
        <f>C45*C18</f>
        <v>-5018.5712547675512</v>
      </c>
      <c r="D47" s="4">
        <f t="shared" ref="D47:N47" si="13">D45*D18</f>
        <v>23689.548124954326</v>
      </c>
      <c r="E47" s="4">
        <f t="shared" si="13"/>
        <v>14792.555074695572</v>
      </c>
      <c r="F47" s="4">
        <f t="shared" si="13"/>
        <v>44242.523474131143</v>
      </c>
      <c r="G47" s="4">
        <f t="shared" si="13"/>
        <v>34436.405271934396</v>
      </c>
      <c r="H47" s="4">
        <f t="shared" si="13"/>
        <v>29504.87444958925</v>
      </c>
      <c r="I47" s="4">
        <f t="shared" si="13"/>
        <v>-3186.7099539833853</v>
      </c>
      <c r="J47" s="4">
        <f t="shared" si="13"/>
        <v>-10777.360700681085</v>
      </c>
      <c r="K47" s="4">
        <f t="shared" si="13"/>
        <v>-38331.538555613144</v>
      </c>
      <c r="L47" s="4">
        <f t="shared" si="13"/>
        <v>-3298.4367284384625</v>
      </c>
      <c r="M47" s="4">
        <f t="shared" si="13"/>
        <v>-65841.051415922848</v>
      </c>
      <c r="N47" s="4">
        <f t="shared" si="13"/>
        <v>-125313.01841755716</v>
      </c>
      <c r="AF47" s="54" t="s">
        <v>36</v>
      </c>
      <c r="BB47" s="54" t="s">
        <v>63</v>
      </c>
    </row>
    <row r="48" spans="1:70" ht="15" thickBot="1" x14ac:dyDescent="0.4">
      <c r="B48" s="40" t="s">
        <v>122</v>
      </c>
      <c r="C48" s="136">
        <f>C38+C43</f>
        <v>4.4538169582501492</v>
      </c>
      <c r="D48" s="136">
        <f t="shared" ref="D48:N48" si="14">D38+D43</f>
        <v>269.13934009865534</v>
      </c>
      <c r="E48" s="136">
        <f t="shared" si="14"/>
        <v>186.75977481848162</v>
      </c>
      <c r="F48" s="136">
        <f t="shared" si="14"/>
        <v>459.44466740584818</v>
      </c>
      <c r="G48" s="136">
        <f t="shared" si="14"/>
        <v>368.64727664476709</v>
      </c>
      <c r="H48" s="136">
        <f t="shared" si="14"/>
        <v>322.98495421564536</v>
      </c>
      <c r="I48" s="136">
        <f t="shared" si="14"/>
        <v>52397.944438501261</v>
      </c>
      <c r="J48" s="136">
        <f t="shared" si="14"/>
        <v>576.3520542953155</v>
      </c>
      <c r="K48" s="136">
        <f t="shared" si="14"/>
        <v>324.12434922147446</v>
      </c>
      <c r="L48" s="136">
        <f t="shared" si="14"/>
        <v>52397.944438501261</v>
      </c>
      <c r="M48" s="136">
        <f t="shared" si="14"/>
        <v>711.64686001693042</v>
      </c>
      <c r="N48" s="136">
        <f t="shared" si="14"/>
        <v>173.58566604579238</v>
      </c>
      <c r="AF48" s="22"/>
      <c r="BB48" s="22"/>
    </row>
    <row r="49" spans="1:70" ht="15" thickBot="1" x14ac:dyDescent="0.4">
      <c r="B49" s="40" t="s">
        <v>123</v>
      </c>
      <c r="C49" s="136">
        <f>C36+C42</f>
        <v>128.49438830161262</v>
      </c>
      <c r="D49" s="136">
        <f t="shared" ref="D49:N49" si="15">D36+D42</f>
        <v>7797.400746791589</v>
      </c>
      <c r="E49" s="136">
        <f t="shared" si="15"/>
        <v>5420.7060308844921</v>
      </c>
      <c r="F49" s="136">
        <f t="shared" si="15"/>
        <v>13287.787451491298</v>
      </c>
      <c r="G49" s="136">
        <f t="shared" si="15"/>
        <v>10668.232750634321</v>
      </c>
      <c r="H49" s="136">
        <f t="shared" si="15"/>
        <v>9350.8568999836389</v>
      </c>
      <c r="I49" s="136">
        <f t="shared" si="15"/>
        <v>840640.27319436835</v>
      </c>
      <c r="J49" s="136">
        <f t="shared" si="15"/>
        <v>16798.205248685215</v>
      </c>
      <c r="K49" s="136">
        <f t="shared" si="15"/>
        <v>10385.415331032114</v>
      </c>
      <c r="L49" s="136">
        <f t="shared" si="15"/>
        <v>840640.27319436835</v>
      </c>
      <c r="M49" s="136">
        <f t="shared" si="15"/>
        <v>21493.574358675505</v>
      </c>
      <c r="N49" s="137">
        <f t="shared" si="15"/>
        <v>8522.910469352817</v>
      </c>
      <c r="AF49" s="22"/>
      <c r="BB49" s="22"/>
    </row>
    <row r="50" spans="1:70" ht="15" thickBot="1" x14ac:dyDescent="0.4">
      <c r="B50" s="134" t="s">
        <v>124</v>
      </c>
      <c r="C50" s="6">
        <f>C48*C17</f>
        <v>481.01223149101611</v>
      </c>
      <c r="D50" s="6">
        <f t="shared" ref="D50:N50" si="16">D48*D17</f>
        <v>29067.048730654777</v>
      </c>
      <c r="E50" s="6">
        <f t="shared" si="16"/>
        <v>20170.055680396013</v>
      </c>
      <c r="F50" s="6">
        <f t="shared" si="16"/>
        <v>49620.024079831601</v>
      </c>
      <c r="G50" s="6">
        <f t="shared" si="16"/>
        <v>39813.905877634847</v>
      </c>
      <c r="H50" s="6">
        <f t="shared" si="16"/>
        <v>34882.375055289696</v>
      </c>
      <c r="I50" s="6">
        <f t="shared" si="16"/>
        <v>64973.451103741565</v>
      </c>
      <c r="J50" s="6">
        <f t="shared" si="16"/>
        <v>62960.698411220263</v>
      </c>
      <c r="K50" s="6">
        <f t="shared" si="16"/>
        <v>35407.343908953866</v>
      </c>
      <c r="L50" s="6">
        <f t="shared" si="16"/>
        <v>67593.348325666622</v>
      </c>
      <c r="M50" s="6">
        <f t="shared" si="16"/>
        <v>78658.327437671323</v>
      </c>
      <c r="N50" s="7">
        <f t="shared" si="16"/>
        <v>19186.423668041432</v>
      </c>
      <c r="AF50" s="22"/>
      <c r="BB50" s="22"/>
    </row>
    <row r="51" spans="1:70" ht="15" thickBot="1" x14ac:dyDescent="0.4">
      <c r="B51" s="40" t="s">
        <v>124</v>
      </c>
      <c r="C51" s="136">
        <f>C49*C18</f>
        <v>481.01223149101588</v>
      </c>
      <c r="D51" s="136">
        <f t="shared" ref="D51:N51" si="17">D49*D18</f>
        <v>29189.174582784988</v>
      </c>
      <c r="E51" s="136">
        <f t="shared" si="17"/>
        <v>20292.138346557145</v>
      </c>
      <c r="F51" s="136">
        <f t="shared" si="17"/>
        <v>49742.159000884036</v>
      </c>
      <c r="G51" s="136">
        <f t="shared" si="17"/>
        <v>39935.988717289001</v>
      </c>
      <c r="H51" s="136">
        <f t="shared" si="17"/>
        <v>35004.458974943765</v>
      </c>
      <c r="I51" s="136">
        <f t="shared" si="17"/>
        <v>65147.02333194024</v>
      </c>
      <c r="J51" s="136">
        <f t="shared" si="17"/>
        <v>64185.039138545697</v>
      </c>
      <c r="K51" s="136">
        <f t="shared" si="17"/>
        <v>39682.113632021625</v>
      </c>
      <c r="L51" s="136">
        <f t="shared" si="17"/>
        <v>67431.092760075364</v>
      </c>
      <c r="M51" s="136">
        <f t="shared" si="17"/>
        <v>83849.876978073618</v>
      </c>
      <c r="N51" s="137">
        <f t="shared" si="17"/>
        <v>33249.239164444298</v>
      </c>
      <c r="AF51" s="22"/>
      <c r="BB51" s="22"/>
    </row>
    <row r="52" spans="1:70" ht="15" thickBot="1" x14ac:dyDescent="0.4">
      <c r="B52" s="132"/>
      <c r="AF52" s="22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3"/>
      <c r="BB52" s="22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3"/>
    </row>
    <row r="53" spans="1:70" ht="21.5" thickBot="1" x14ac:dyDescent="0.55000000000000004">
      <c r="AF53" s="24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51" t="s">
        <v>86</v>
      </c>
      <c r="AU53" s="12"/>
      <c r="AV53" s="12"/>
      <c r="AW53" s="12"/>
      <c r="AX53" s="25"/>
      <c r="BB53" s="24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51" t="s">
        <v>86</v>
      </c>
      <c r="BQ53" s="12"/>
      <c r="BR53" s="25"/>
    </row>
    <row r="54" spans="1:70" ht="15" thickBot="1" x14ac:dyDescent="0.4">
      <c r="D54" s="22" t="s">
        <v>41</v>
      </c>
      <c r="E54" s="28"/>
      <c r="F54" s="28"/>
      <c r="G54" s="23"/>
      <c r="AF54" s="24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31">
        <f>-H17*((H38+H40)-(G38+G40))</f>
        <v>4931.5308223451466</v>
      </c>
      <c r="AU54" s="12"/>
      <c r="AV54" s="12"/>
      <c r="AW54" s="12"/>
      <c r="AX54" s="25"/>
      <c r="BB54" s="24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31">
        <f>+I17*(I38+I40)+H17*(H38+H40)-J17*(J38+J40)</f>
        <v>37103.570201836337</v>
      </c>
      <c r="BQ54" s="12"/>
      <c r="BR54" s="25"/>
    </row>
    <row r="55" spans="1:70" ht="15" thickBot="1" x14ac:dyDescent="0.4">
      <c r="C55" s="3" t="s">
        <v>87</v>
      </c>
      <c r="D55" s="3" t="s">
        <v>82</v>
      </c>
      <c r="E55" s="3" t="s">
        <v>88</v>
      </c>
      <c r="F55" s="3" t="s">
        <v>83</v>
      </c>
      <c r="G55" s="3" t="s">
        <v>89</v>
      </c>
      <c r="H55" s="3" t="s">
        <v>90</v>
      </c>
      <c r="AF55" s="24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42">
        <f>-(H50-G50)</f>
        <v>4931.5308223451502</v>
      </c>
      <c r="AU55" s="12"/>
      <c r="AV55" s="12"/>
      <c r="AW55" s="12"/>
      <c r="AX55" s="25"/>
      <c r="BB55" s="24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42">
        <f>H50+I50-J50</f>
        <v>36895.127747810999</v>
      </c>
      <c r="BQ55" s="12"/>
      <c r="BR55" s="25"/>
    </row>
    <row r="56" spans="1:70" ht="15" thickBot="1" x14ac:dyDescent="0.4">
      <c r="C56" s="26">
        <f>(-30947211/1000)</f>
        <v>-30947.210999999999</v>
      </c>
      <c r="D56" s="3">
        <f>-29.996338*1000</f>
        <v>-29996.338</v>
      </c>
      <c r="E56" s="3">
        <f>-31.713405*1000</f>
        <v>-31713.405000000002</v>
      </c>
      <c r="F56" s="3">
        <f>-31.484993*1000</f>
        <v>-31484.992999999999</v>
      </c>
      <c r="G56" s="52">
        <f>24.818525*1000</f>
        <v>24818.525000000001</v>
      </c>
      <c r="H56" s="3">
        <f>53.8626*1000</f>
        <v>53862.6</v>
      </c>
      <c r="AF56" s="2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25"/>
      <c r="BB56" s="24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25"/>
    </row>
    <row r="57" spans="1:70" ht="36" x14ac:dyDescent="0.8">
      <c r="C57" s="53" t="s">
        <v>84</v>
      </c>
      <c r="AF57" s="24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25"/>
      <c r="BB57" s="24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25"/>
    </row>
    <row r="58" spans="1:70" x14ac:dyDescent="0.35">
      <c r="AF58" s="24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25"/>
      <c r="BB58" s="24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25"/>
    </row>
    <row r="59" spans="1:70" ht="15" thickBot="1" x14ac:dyDescent="0.4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AF59" s="24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25"/>
      <c r="BB59" s="24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25"/>
    </row>
    <row r="60" spans="1:70" ht="15" thickBot="1" x14ac:dyDescent="0.4">
      <c r="A60" s="4" t="s">
        <v>113</v>
      </c>
      <c r="B60" s="4" t="s">
        <v>126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AF60" s="24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25"/>
      <c r="BB60" s="24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25"/>
    </row>
    <row r="61" spans="1:70" x14ac:dyDescent="0.35">
      <c r="A61" s="129" t="s">
        <v>91</v>
      </c>
      <c r="B61" s="129">
        <v>2239.0916202781082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AF61" s="24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25"/>
      <c r="BB61" s="24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25"/>
    </row>
    <row r="62" spans="1:70" x14ac:dyDescent="0.35">
      <c r="A62" s="129" t="s">
        <v>92</v>
      </c>
      <c r="B62" s="129">
        <v>2263.4366005644151</v>
      </c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AF62" s="24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25"/>
      <c r="BB62" s="24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25"/>
    </row>
    <row r="63" spans="1:70" ht="15" thickBot="1" x14ac:dyDescent="0.4">
      <c r="A63" s="129" t="s">
        <v>93</v>
      </c>
      <c r="B63" s="129">
        <v>8897.0391089999994</v>
      </c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AF63" s="26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7"/>
      <c r="BB63" s="26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7"/>
    </row>
    <row r="64" spans="1:70" x14ac:dyDescent="0.35">
      <c r="A64" s="129" t="s">
        <v>94</v>
      </c>
      <c r="B64" s="129">
        <v>9806.1182021967579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</row>
    <row r="65" spans="1:70" ht="15" thickBot="1" x14ac:dyDescent="0.4">
      <c r="A65" s="129" t="s">
        <v>95</v>
      </c>
      <c r="B65" s="129">
        <v>4931.5308223451466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</row>
    <row r="66" spans="1:70" ht="15" thickBot="1" x14ac:dyDescent="0.4">
      <c r="A66" s="129" t="s">
        <v>96</v>
      </c>
      <c r="B66" s="129">
        <v>37103.570201836337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AF66" s="54" t="s">
        <v>37</v>
      </c>
    </row>
    <row r="67" spans="1:70" ht="15" thickBot="1" x14ac:dyDescent="0.4">
      <c r="A67" s="129" t="s">
        <v>97</v>
      </c>
      <c r="B67" s="129">
        <v>24204.086354103812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AF67" s="22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3"/>
      <c r="BB67" s="54" t="s">
        <v>65</v>
      </c>
    </row>
    <row r="68" spans="1:70" x14ac:dyDescent="0.35">
      <c r="A68" s="129" t="s">
        <v>98</v>
      </c>
      <c r="B68" s="129">
        <v>2734.8295022663915</v>
      </c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AF68" s="24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25"/>
      <c r="BB68" s="22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3"/>
    </row>
    <row r="69" spans="1:70" ht="15" thickBot="1" x14ac:dyDescent="0.4">
      <c r="A69" s="130" t="s">
        <v>99</v>
      </c>
      <c r="B69" s="130">
        <v>5609.3037696298925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AF69" s="24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25"/>
      <c r="BB69" s="24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25"/>
    </row>
    <row r="70" spans="1:70" ht="21.5" thickBot="1" x14ac:dyDescent="0.55000000000000004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AF70" s="24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51" t="s">
        <v>86</v>
      </c>
      <c r="AU70" s="12" t="s">
        <v>85</v>
      </c>
      <c r="AV70" s="12"/>
      <c r="AW70" s="12"/>
      <c r="AX70" s="25"/>
      <c r="BB70" s="24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51" t="s">
        <v>86</v>
      </c>
      <c r="BQ70" s="12"/>
      <c r="BR70" s="25"/>
    </row>
    <row r="71" spans="1:70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AF71" s="24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31">
        <f>-G56-J17*((K38+K40)-(J38+J40))</f>
        <v>2734.8295022663915</v>
      </c>
      <c r="AU71" s="12"/>
      <c r="AV71" s="12"/>
      <c r="AW71" s="12"/>
      <c r="AX71" s="25"/>
      <c r="BB71" s="24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31">
        <f>+L17*(L38+L40)+K17*(K38+K40)-M17*(M38+M40)</f>
        <v>24204.086354103812</v>
      </c>
      <c r="BQ71" s="12"/>
      <c r="BR71" s="25"/>
    </row>
    <row r="72" spans="1:70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AF72" s="24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42">
        <f>-G56-(K50-J50)</f>
        <v>2734.8295022663951</v>
      </c>
      <c r="AU72" s="12"/>
      <c r="AV72" s="12"/>
      <c r="AW72" s="12"/>
      <c r="AX72" s="25"/>
      <c r="BB72" s="24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42">
        <f>K50+L50-M50</f>
        <v>24342.364796949158</v>
      </c>
      <c r="BQ72" s="12"/>
      <c r="BR72" s="25"/>
    </row>
    <row r="73" spans="1:70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AF73" s="24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25"/>
      <c r="BB73" s="24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25"/>
    </row>
    <row r="74" spans="1:70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AF74" s="24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25"/>
      <c r="BB74" s="24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25"/>
    </row>
    <row r="75" spans="1:70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AF75" s="24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25"/>
      <c r="BB75" s="24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25"/>
    </row>
    <row r="76" spans="1:70" x14ac:dyDescent="0.3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AF76" s="24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25"/>
      <c r="BB76" s="24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25"/>
    </row>
    <row r="77" spans="1:70" x14ac:dyDescent="0.3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AF77" s="24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25"/>
      <c r="BB77" s="24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25"/>
    </row>
    <row r="78" spans="1:70" x14ac:dyDescent="0.3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AF78" s="24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25"/>
      <c r="BB78" s="24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25"/>
    </row>
    <row r="79" spans="1:70" x14ac:dyDescent="0.3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AF79" s="24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25"/>
      <c r="BB79" s="24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25"/>
    </row>
    <row r="80" spans="1:70" x14ac:dyDescent="0.3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AF80" s="24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25"/>
      <c r="BB80" s="24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25"/>
    </row>
    <row r="81" spans="1:70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AF81" s="24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25"/>
      <c r="BB81" s="24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25"/>
    </row>
    <row r="82" spans="1:70" x14ac:dyDescent="0.3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AF82" s="24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25"/>
      <c r="BB82" s="24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25"/>
    </row>
    <row r="83" spans="1:70" x14ac:dyDescent="0.3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AF83" s="24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25"/>
      <c r="BB83" s="24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25"/>
    </row>
    <row r="84" spans="1:70" ht="15" thickBot="1" x14ac:dyDescent="0.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AF84" s="26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7"/>
      <c r="BB84" s="26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7"/>
    </row>
    <row r="85" spans="1:70" ht="15" thickBot="1" x14ac:dyDescent="0.4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</row>
    <row r="86" spans="1:70" ht="15" thickBot="1" x14ac:dyDescent="0.4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AF86" s="54" t="s">
        <v>38</v>
      </c>
    </row>
    <row r="87" spans="1:70" x14ac:dyDescent="0.3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AF87" s="22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3"/>
    </row>
    <row r="88" spans="1:70" x14ac:dyDescent="0.3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AF88" s="24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25"/>
    </row>
    <row r="89" spans="1:70" x14ac:dyDescent="0.3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AF89" s="24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25"/>
    </row>
    <row r="90" spans="1:70" ht="15" thickBot="1" x14ac:dyDescent="0.4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AF90" s="24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25"/>
    </row>
    <row r="91" spans="1:70" ht="21.5" thickBot="1" x14ac:dyDescent="0.55000000000000004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AF91" s="24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51" t="s">
        <v>86</v>
      </c>
      <c r="AU91" s="12" t="s">
        <v>85</v>
      </c>
      <c r="AV91" s="12"/>
      <c r="AW91" s="12"/>
      <c r="AX91" s="25"/>
    </row>
    <row r="92" spans="1:70" x14ac:dyDescent="0.3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AF92" s="24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31">
        <f>-H56-M17*((N38+N40)-(M38+M40))</f>
        <v>5609.3037696298925</v>
      </c>
      <c r="AU92" s="12"/>
      <c r="AV92" s="12"/>
      <c r="AW92" s="12"/>
      <c r="AX92" s="25"/>
    </row>
    <row r="93" spans="1:70" x14ac:dyDescent="0.3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AF93" s="24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42">
        <f>-H56-(N50-M50)</f>
        <v>5609.3037696298925</v>
      </c>
      <c r="AU93" s="12"/>
      <c r="AV93" s="12"/>
      <c r="AW93" s="12"/>
      <c r="AX93" s="25"/>
    </row>
    <row r="94" spans="1:70" x14ac:dyDescent="0.3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AF94" s="24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25"/>
    </row>
    <row r="95" spans="1:70" x14ac:dyDescent="0.3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AF95" s="24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25"/>
    </row>
    <row r="96" spans="1:70" x14ac:dyDescent="0.35">
      <c r="AF96" s="24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25"/>
    </row>
    <row r="97" spans="1:50" x14ac:dyDescent="0.35">
      <c r="AF97" s="24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25"/>
    </row>
    <row r="98" spans="1:50" x14ac:dyDescent="0.35">
      <c r="B98" t="s">
        <v>437</v>
      </c>
      <c r="AF98" s="24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25"/>
    </row>
    <row r="99" spans="1:50" ht="15" thickBot="1" x14ac:dyDescent="0.4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AF99" s="24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25"/>
    </row>
    <row r="100" spans="1:50" ht="15" thickBot="1" x14ac:dyDescent="0.4">
      <c r="A100" s="134" t="s">
        <v>113</v>
      </c>
      <c r="B100" s="134" t="s">
        <v>126</v>
      </c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AF100" s="24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25"/>
    </row>
    <row r="101" spans="1:50" x14ac:dyDescent="0.35">
      <c r="A101" s="139" t="s">
        <v>91</v>
      </c>
      <c r="B101" s="138">
        <v>2361.1745310000001</v>
      </c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AF101" s="24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25"/>
    </row>
    <row r="102" spans="1:50" x14ac:dyDescent="0.35">
      <c r="A102" s="140" t="s">
        <v>92</v>
      </c>
      <c r="B102" s="138">
        <v>2263.4367000000002</v>
      </c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AF102" s="24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25"/>
    </row>
    <row r="103" spans="1:50" x14ac:dyDescent="0.35">
      <c r="A103" s="140" t="s">
        <v>93</v>
      </c>
      <c r="B103" s="138">
        <v>8896.9930000000004</v>
      </c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AF103" s="24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25"/>
    </row>
    <row r="104" spans="1:50" ht="15" thickBot="1" x14ac:dyDescent="0.4">
      <c r="A104" s="140" t="s">
        <v>94</v>
      </c>
      <c r="B104" s="138">
        <v>9806.1180000000004</v>
      </c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AF104" s="26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7"/>
    </row>
    <row r="105" spans="1:50" x14ac:dyDescent="0.35">
      <c r="A105" s="140" t="s">
        <v>95</v>
      </c>
      <c r="B105" s="138">
        <v>4931.5309999999999</v>
      </c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</row>
    <row r="106" spans="1:50" x14ac:dyDescent="0.35">
      <c r="A106" s="140" t="s">
        <v>96</v>
      </c>
      <c r="B106" s="138">
        <v>36895.128100000002</v>
      </c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</row>
    <row r="107" spans="1:50" x14ac:dyDescent="0.35">
      <c r="A107" s="140" t="s">
        <v>97</v>
      </c>
      <c r="B107" s="138">
        <v>24342.365229999999</v>
      </c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</row>
    <row r="108" spans="1:50" x14ac:dyDescent="0.35">
      <c r="A108" s="140" t="s">
        <v>98</v>
      </c>
      <c r="B108" s="138">
        <v>2734.8290999999999</v>
      </c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</row>
    <row r="109" spans="1:50" ht="15" thickBot="1" x14ac:dyDescent="0.4">
      <c r="A109" s="141" t="s">
        <v>99</v>
      </c>
      <c r="B109" s="138">
        <v>5609.3033000000096</v>
      </c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</row>
    <row r="110" spans="1:50" ht="15" thickBot="1" x14ac:dyDescent="0.4">
      <c r="A110" s="134" t="s">
        <v>113</v>
      </c>
      <c r="B110" s="139" t="s">
        <v>422</v>
      </c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</row>
    <row r="111" spans="1:50" x14ac:dyDescent="0.35">
      <c r="A111" s="139" t="s">
        <v>91</v>
      </c>
      <c r="B111" s="139">
        <f>B101/1000</f>
        <v>2.3611745310000001</v>
      </c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</row>
    <row r="112" spans="1:50" x14ac:dyDescent="0.35">
      <c r="A112" s="140" t="s">
        <v>93</v>
      </c>
      <c r="B112" s="140">
        <f>B103/1000</f>
        <v>8.8969930000000002</v>
      </c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</row>
    <row r="113" spans="1:18" x14ac:dyDescent="0.35">
      <c r="A113" s="140" t="s">
        <v>92</v>
      </c>
      <c r="B113" s="140">
        <f>B102/1000</f>
        <v>2.2634367000000002</v>
      </c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</row>
    <row r="114" spans="1:18" x14ac:dyDescent="0.35">
      <c r="A114" s="140" t="s">
        <v>94</v>
      </c>
      <c r="B114" s="140">
        <f>B104/1000</f>
        <v>9.8061179999999997</v>
      </c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</row>
    <row r="115" spans="1:18" x14ac:dyDescent="0.35">
      <c r="A115" s="140" t="s">
        <v>429</v>
      </c>
      <c r="B115" s="140">
        <v>0</v>
      </c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</row>
    <row r="116" spans="1:18" x14ac:dyDescent="0.35">
      <c r="A116" s="140" t="s">
        <v>95</v>
      </c>
      <c r="B116" s="140">
        <f>B105/1000</f>
        <v>4.9315309999999997</v>
      </c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</row>
    <row r="117" spans="1:18" x14ac:dyDescent="0.35">
      <c r="A117" s="140" t="s">
        <v>96</v>
      </c>
      <c r="B117" s="140">
        <f>B106/1000</f>
        <v>36.895128100000001</v>
      </c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</row>
    <row r="118" spans="1:18" x14ac:dyDescent="0.35">
      <c r="A118" s="140" t="s">
        <v>98</v>
      </c>
      <c r="B118" s="140">
        <f>B108/1000</f>
        <v>2.7348290999999998</v>
      </c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</row>
    <row r="119" spans="1:18" x14ac:dyDescent="0.35">
      <c r="A119" s="140" t="s">
        <v>97</v>
      </c>
      <c r="B119" s="140">
        <f>B107/1000</f>
        <v>24.342365229999999</v>
      </c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</row>
    <row r="120" spans="1:18" ht="15" thickBot="1" x14ac:dyDescent="0.4">
      <c r="A120" s="141" t="s">
        <v>99</v>
      </c>
      <c r="B120" s="141">
        <f>B109/1000</f>
        <v>5.6093033000000094</v>
      </c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</row>
    <row r="121" spans="1:18" x14ac:dyDescent="0.35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</row>
    <row r="122" spans="1:18" x14ac:dyDescent="0.35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</row>
    <row r="123" spans="1:18" x14ac:dyDescent="0.35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</row>
    <row r="124" spans="1:18" x14ac:dyDescent="0.35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</row>
    <row r="125" spans="1:18" x14ac:dyDescent="0.35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</row>
    <row r="126" spans="1:18" x14ac:dyDescent="0.35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</row>
    <row r="127" spans="1:18" x14ac:dyDescent="0.35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</row>
    <row r="128" spans="1:18" x14ac:dyDescent="0.35">
      <c r="A128" s="138"/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</row>
    <row r="129" spans="1:18" x14ac:dyDescent="0.35">
      <c r="A129" s="138"/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</row>
    <row r="130" spans="1:18" x14ac:dyDescent="0.35">
      <c r="A130" s="138"/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</row>
    <row r="131" spans="1:18" x14ac:dyDescent="0.35">
      <c r="A131" s="138"/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</row>
    <row r="132" spans="1:18" x14ac:dyDescent="0.35">
      <c r="A132" s="138"/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</row>
    <row r="133" spans="1:18" x14ac:dyDescent="0.35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</row>
    <row r="134" spans="1:18" x14ac:dyDescent="0.35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</row>
    <row r="135" spans="1:18" x14ac:dyDescent="0.35">
      <c r="A135" s="138"/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</row>
    <row r="136" spans="1:18" x14ac:dyDescent="0.35">
      <c r="A136" s="138"/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085-48F8-40AE-A1E3-BF28F640F7B4}">
  <dimension ref="A1:AG62"/>
  <sheetViews>
    <sheetView topLeftCell="A52" zoomScale="80" zoomScaleNormal="80" workbookViewId="0">
      <selection activeCell="D71" sqref="D71"/>
    </sheetView>
  </sheetViews>
  <sheetFormatPr defaultRowHeight="14.5" x14ac:dyDescent="0.35"/>
  <cols>
    <col min="2" max="2" width="10.453125" customWidth="1"/>
    <col min="4" max="4" width="9.453125" bestFit="1" customWidth="1"/>
    <col min="9" max="9" width="9.453125" bestFit="1" customWidth="1"/>
    <col min="10" max="10" width="10.6328125" customWidth="1"/>
    <col min="12" max="12" width="9.453125" bestFit="1" customWidth="1"/>
  </cols>
  <sheetData>
    <row r="1" spans="1:22" x14ac:dyDescent="0.35">
      <c r="A1" t="s">
        <v>200</v>
      </c>
    </row>
    <row r="2" spans="1:22" x14ac:dyDescent="0.35">
      <c r="A2" t="s">
        <v>201</v>
      </c>
    </row>
    <row r="4" spans="1:22" ht="15" thickBot="1" x14ac:dyDescent="0.4"/>
    <row r="5" spans="1:22" ht="15" thickBot="1" x14ac:dyDescent="0.4">
      <c r="A5" s="8" t="s">
        <v>202</v>
      </c>
      <c r="B5" s="1"/>
      <c r="C5" s="1"/>
      <c r="D5" s="2"/>
      <c r="J5" s="3" t="s">
        <v>211</v>
      </c>
      <c r="O5" s="8" t="s">
        <v>218</v>
      </c>
      <c r="P5" s="2"/>
      <c r="T5" s="8" t="s">
        <v>227</v>
      </c>
      <c r="U5" s="2"/>
    </row>
    <row r="6" spans="1:22" x14ac:dyDescent="0.35">
      <c r="A6" s="109" t="s">
        <v>203</v>
      </c>
      <c r="B6" t="s">
        <v>207</v>
      </c>
      <c r="J6" t="s">
        <v>9</v>
      </c>
      <c r="O6" t="s">
        <v>219</v>
      </c>
      <c r="R6" s="111" t="s">
        <v>220</v>
      </c>
      <c r="T6" t="s">
        <v>234</v>
      </c>
      <c r="U6">
        <v>298.14999999999998</v>
      </c>
      <c r="V6" t="s">
        <v>231</v>
      </c>
    </row>
    <row r="7" spans="1:22" x14ac:dyDescent="0.35">
      <c r="A7" s="109" t="s">
        <v>204</v>
      </c>
      <c r="B7" t="s">
        <v>208</v>
      </c>
      <c r="J7" t="s">
        <v>16</v>
      </c>
      <c r="T7" t="s">
        <v>232</v>
      </c>
      <c r="U7">
        <v>1</v>
      </c>
      <c r="V7" t="s">
        <v>233</v>
      </c>
    </row>
    <row r="8" spans="1:22" x14ac:dyDescent="0.35">
      <c r="A8" s="109" t="s">
        <v>205</v>
      </c>
      <c r="B8" t="s">
        <v>209</v>
      </c>
      <c r="J8" t="s">
        <v>18</v>
      </c>
    </row>
    <row r="9" spans="1:22" x14ac:dyDescent="0.35">
      <c r="A9" s="109" t="s">
        <v>206</v>
      </c>
      <c r="B9" t="s">
        <v>210</v>
      </c>
      <c r="J9" t="s">
        <v>10</v>
      </c>
    </row>
    <row r="23" spans="1:33" ht="15" thickBot="1" x14ac:dyDescent="0.4"/>
    <row r="24" spans="1:33" ht="15" thickBot="1" x14ac:dyDescent="0.4">
      <c r="U24" s="8"/>
      <c r="V24" s="1" t="s">
        <v>222</v>
      </c>
      <c r="W24" s="1"/>
      <c r="X24" s="1"/>
      <c r="Y24" s="2"/>
      <c r="AC24" s="8" t="s">
        <v>226</v>
      </c>
      <c r="AD24" s="1"/>
      <c r="AE24" s="1"/>
      <c r="AF24" s="1"/>
      <c r="AG24" s="2">
        <v>8.3140000000000001</v>
      </c>
    </row>
    <row r="25" spans="1:33" ht="15" thickBot="1" x14ac:dyDescent="0.4">
      <c r="G25" t="s">
        <v>213</v>
      </c>
      <c r="U25" s="8" t="s">
        <v>9</v>
      </c>
      <c r="V25" s="1" t="s">
        <v>10</v>
      </c>
      <c r="W25" s="1" t="s">
        <v>212</v>
      </c>
      <c r="X25" s="1" t="s">
        <v>18</v>
      </c>
      <c r="Y25" s="2" t="s">
        <v>17</v>
      </c>
      <c r="Z25" s="33" t="s">
        <v>223</v>
      </c>
      <c r="AA25" s="1"/>
      <c r="AB25" s="2"/>
      <c r="AC25" s="124" t="s">
        <v>225</v>
      </c>
      <c r="AD25" s="29"/>
      <c r="AE25" s="29"/>
      <c r="AF25" s="27"/>
    </row>
    <row r="26" spans="1:33" ht="15" thickBot="1" x14ac:dyDescent="0.4">
      <c r="C26" s="16">
        <v>1</v>
      </c>
      <c r="D26" s="16">
        <v>2</v>
      </c>
      <c r="E26" s="16">
        <v>3</v>
      </c>
      <c r="F26" s="16">
        <v>4</v>
      </c>
      <c r="G26" s="16">
        <v>5</v>
      </c>
      <c r="H26" s="16">
        <v>6</v>
      </c>
      <c r="I26" s="110">
        <v>7</v>
      </c>
      <c r="J26" s="17">
        <v>8</v>
      </c>
      <c r="K26" s="17">
        <v>9</v>
      </c>
      <c r="L26" s="110">
        <v>10</v>
      </c>
      <c r="M26" s="4">
        <v>11</v>
      </c>
      <c r="N26" s="4">
        <v>12</v>
      </c>
      <c r="Q26" s="113" t="s">
        <v>215</v>
      </c>
      <c r="R26" s="114"/>
      <c r="S26" s="114"/>
      <c r="T26" s="115"/>
      <c r="U26" s="123">
        <v>0.21</v>
      </c>
      <c r="V26" s="28">
        <v>0.79</v>
      </c>
      <c r="W26" s="28">
        <v>0</v>
      </c>
      <c r="X26" s="28">
        <v>0</v>
      </c>
      <c r="Y26" s="23">
        <v>0</v>
      </c>
      <c r="Z26" s="22"/>
      <c r="AA26" s="28">
        <v>28.8503972</v>
      </c>
      <c r="AB26" s="23"/>
      <c r="AC26" s="22"/>
      <c r="AD26" s="28">
        <f>AG$24/AA26</f>
        <v>0.28817627509128368</v>
      </c>
      <c r="AE26" s="28"/>
      <c r="AF26" s="23"/>
    </row>
    <row r="27" spans="1:33" ht="15" thickBot="1" x14ac:dyDescent="0.4">
      <c r="A27" s="8" t="s">
        <v>221</v>
      </c>
      <c r="B27" s="2"/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320</v>
      </c>
      <c r="J27" s="3" t="s">
        <v>320</v>
      </c>
      <c r="K27" s="3" t="s">
        <v>320</v>
      </c>
      <c r="L27" s="3" t="s">
        <v>320</v>
      </c>
      <c r="M27" s="3" t="s">
        <v>320</v>
      </c>
      <c r="N27" s="3" t="s">
        <v>320</v>
      </c>
      <c r="Q27" s="116" t="s">
        <v>214</v>
      </c>
      <c r="R27" s="112"/>
      <c r="S27" s="112"/>
      <c r="T27" s="117"/>
      <c r="U27" s="24">
        <v>0</v>
      </c>
      <c r="V27" s="12">
        <v>0</v>
      </c>
      <c r="W27" s="12">
        <v>0</v>
      </c>
      <c r="X27" s="12">
        <v>0</v>
      </c>
      <c r="Y27" s="25">
        <v>1</v>
      </c>
      <c r="Z27" s="24"/>
      <c r="AA27" s="12">
        <v>16.042760000000001</v>
      </c>
      <c r="AB27" s="25"/>
      <c r="AC27" s="24"/>
      <c r="AD27" s="12">
        <f t="shared" ref="AD27:AD29" si="0">AG$24/AA27</f>
        <v>0.51824000359040456</v>
      </c>
      <c r="AE27" s="12"/>
      <c r="AF27" s="25"/>
    </row>
    <row r="28" spans="1:33" ht="15" thickBot="1" x14ac:dyDescent="0.4">
      <c r="A28" s="8" t="s">
        <v>321</v>
      </c>
      <c r="B28" s="2"/>
      <c r="C28" s="35">
        <v>-0.27867999999999998</v>
      </c>
      <c r="D28" s="10">
        <v>280.53899999999999</v>
      </c>
      <c r="E28" s="10">
        <v>2.7947299999999999</v>
      </c>
      <c r="F28" s="10">
        <v>290.565</v>
      </c>
      <c r="G28" s="10">
        <v>-0.96319699999999997</v>
      </c>
      <c r="H28" s="10">
        <v>-0.96318700000000002</v>
      </c>
      <c r="I28" s="36">
        <v>-4701.83</v>
      </c>
      <c r="J28" s="10">
        <v>-44.090499999999999</v>
      </c>
      <c r="K28" s="10">
        <v>-247.982</v>
      </c>
      <c r="L28" s="36">
        <v>-4701.83</v>
      </c>
      <c r="M28" s="10">
        <v>-288.471</v>
      </c>
      <c r="N28" s="10">
        <v>-705.46600000000001</v>
      </c>
      <c r="Q28" s="118" t="s">
        <v>216</v>
      </c>
      <c r="R28" s="119"/>
      <c r="S28" s="119"/>
      <c r="T28" s="120"/>
      <c r="U28" s="24">
        <v>0.77397700000000003</v>
      </c>
      <c r="V28" s="12">
        <v>0.16517699999999999</v>
      </c>
      <c r="W28" s="12">
        <v>4.0564299999999998E-2</v>
      </c>
      <c r="X28" s="122">
        <v>7.29846E-78</v>
      </c>
      <c r="Y28" s="25">
        <v>2.0282100000000001E-2</v>
      </c>
      <c r="Z28" s="24"/>
      <c r="AA28" s="12">
        <v>28.590631099730299</v>
      </c>
      <c r="AB28" s="25"/>
      <c r="AC28" s="24"/>
      <c r="AD28" s="12">
        <f t="shared" si="0"/>
        <v>0.29079456032288942</v>
      </c>
      <c r="AE28" s="12"/>
      <c r="AF28" s="25"/>
    </row>
    <row r="29" spans="1:33" ht="15" thickBot="1" x14ac:dyDescent="0.4">
      <c r="A29" s="8" t="s">
        <v>322</v>
      </c>
      <c r="B29" s="2"/>
      <c r="C29" s="10">
        <v>0.15112899999999999</v>
      </c>
      <c r="D29" s="10">
        <v>0.20144399999999998</v>
      </c>
      <c r="E29" s="10">
        <v>-0.45381099999999996</v>
      </c>
      <c r="F29" s="10">
        <v>-0.40321600000000002</v>
      </c>
      <c r="G29" s="10">
        <v>-1.07647</v>
      </c>
      <c r="H29" s="10">
        <v>-0.92331700000000005</v>
      </c>
      <c r="I29" s="11">
        <v>-7.1798900000000003</v>
      </c>
      <c r="J29" s="10">
        <v>7.55005E-3</v>
      </c>
      <c r="K29" s="10">
        <v>7.6105400000000004E-2</v>
      </c>
      <c r="L29" s="11">
        <v>-7.1798900000000003</v>
      </c>
      <c r="M29" s="10">
        <v>0.67991999999999997</v>
      </c>
      <c r="N29" s="10">
        <v>0.817581</v>
      </c>
      <c r="Q29" s="103" t="s">
        <v>217</v>
      </c>
      <c r="R29" s="121"/>
      <c r="S29" s="121"/>
      <c r="T29" s="104"/>
      <c r="U29" s="26">
        <v>0.75806300000000004</v>
      </c>
      <c r="V29" s="29">
        <v>0.120657</v>
      </c>
      <c r="W29" s="29">
        <v>8.0853300000000003E-2</v>
      </c>
      <c r="X29" s="29">
        <v>1.0510800000000001E-63</v>
      </c>
      <c r="Y29" s="27">
        <v>4.0426700000000003E-2</v>
      </c>
      <c r="Z29" s="26"/>
      <c r="AA29" s="29">
        <v>28.332627135191402</v>
      </c>
      <c r="AB29" s="27"/>
      <c r="AC29" s="26"/>
      <c r="AD29" s="29">
        <f t="shared" si="0"/>
        <v>0.29344260806910288</v>
      </c>
      <c r="AE29" s="29"/>
      <c r="AF29" s="27"/>
    </row>
    <row r="30" spans="1:33" ht="15" thickBot="1" x14ac:dyDescent="0.4">
      <c r="A30" s="8" t="s">
        <v>323</v>
      </c>
      <c r="B30" s="2"/>
      <c r="C30" s="3">
        <f>C28-$U$6*C29</f>
        <v>-45.337791349999996</v>
      </c>
      <c r="D30" s="3">
        <f t="shared" ref="D30:N30" si="1">D28-$U$6*D29</f>
        <v>220.47847139999999</v>
      </c>
      <c r="E30" s="3">
        <f t="shared" si="1"/>
        <v>138.09847964999997</v>
      </c>
      <c r="F30" s="3">
        <f t="shared" si="1"/>
        <v>410.78385040000001</v>
      </c>
      <c r="G30" s="3">
        <f t="shared" si="1"/>
        <v>319.9863335</v>
      </c>
      <c r="H30" s="3">
        <f t="shared" si="1"/>
        <v>274.32377654999999</v>
      </c>
      <c r="I30" s="3">
        <f t="shared" si="1"/>
        <v>-2561.1457965</v>
      </c>
      <c r="J30" s="3">
        <f t="shared" si="1"/>
        <v>-46.341547407500002</v>
      </c>
      <c r="K30" s="3">
        <f t="shared" si="1"/>
        <v>-270.67282501</v>
      </c>
      <c r="L30" s="3">
        <f t="shared" si="1"/>
        <v>-2561.1457965</v>
      </c>
      <c r="M30" s="3">
        <f t="shared" si="1"/>
        <v>-491.18914799999999</v>
      </c>
      <c r="N30" s="3">
        <f t="shared" si="1"/>
        <v>-949.22777514999996</v>
      </c>
    </row>
    <row r="31" spans="1:33" ht="15" thickBot="1" x14ac:dyDescent="0.4"/>
    <row r="32" spans="1:33" ht="15" thickBot="1" x14ac:dyDescent="0.4">
      <c r="V32" s="30" t="s">
        <v>237</v>
      </c>
      <c r="W32" s="127"/>
      <c r="X32" s="8" t="s">
        <v>238</v>
      </c>
      <c r="Y32" s="2"/>
    </row>
    <row r="33" spans="1:25" x14ac:dyDescent="0.35">
      <c r="U33" s="54" t="s">
        <v>9</v>
      </c>
      <c r="V33" s="22">
        <v>32</v>
      </c>
      <c r="W33" s="23"/>
      <c r="X33" s="22">
        <f>AG$24/V33</f>
        <v>0.2598125</v>
      </c>
      <c r="Y33" s="23"/>
    </row>
    <row r="34" spans="1:25" x14ac:dyDescent="0.35">
      <c r="U34" s="62" t="s">
        <v>10</v>
      </c>
      <c r="V34" s="24">
        <v>28</v>
      </c>
      <c r="W34" s="25"/>
      <c r="X34" s="24">
        <f t="shared" ref="X34:X37" si="2">AG$24/V34</f>
        <v>0.29692857142857143</v>
      </c>
      <c r="Y34" s="25"/>
    </row>
    <row r="35" spans="1:25" x14ac:dyDescent="0.35">
      <c r="U35" s="62" t="s">
        <v>16</v>
      </c>
      <c r="V35" s="24">
        <v>18</v>
      </c>
      <c r="W35" s="25"/>
      <c r="X35" s="24">
        <f t="shared" si="2"/>
        <v>0.4618888888888889</v>
      </c>
      <c r="Y35" s="25"/>
    </row>
    <row r="36" spans="1:25" x14ac:dyDescent="0.35">
      <c r="U36" s="62" t="s">
        <v>18</v>
      </c>
      <c r="V36" s="24">
        <v>44</v>
      </c>
      <c r="W36" s="25"/>
      <c r="X36" s="24">
        <f t="shared" si="2"/>
        <v>0.18895454545454546</v>
      </c>
      <c r="Y36" s="25"/>
    </row>
    <row r="37" spans="1:25" ht="15" thickBot="1" x14ac:dyDescent="0.4">
      <c r="U37" s="59" t="s">
        <v>17</v>
      </c>
      <c r="V37" s="26">
        <v>16</v>
      </c>
      <c r="W37" s="27"/>
      <c r="X37" s="26">
        <f t="shared" si="2"/>
        <v>0.519625</v>
      </c>
      <c r="Y37" s="27"/>
    </row>
    <row r="40" spans="1:25" ht="15" thickBot="1" x14ac:dyDescent="0.4"/>
    <row r="41" spans="1:25" ht="26.5" thickBot="1" x14ac:dyDescent="0.65">
      <c r="A41" s="125" t="s">
        <v>239</v>
      </c>
      <c r="B41" s="1"/>
      <c r="C41" s="1"/>
      <c r="D41" s="1"/>
      <c r="E41" s="2"/>
      <c r="F41" s="1"/>
      <c r="G41" s="1"/>
      <c r="H41" s="1"/>
      <c r="I41" s="2"/>
    </row>
    <row r="43" spans="1:25" x14ac:dyDescent="0.35">
      <c r="A43" s="111" t="s">
        <v>220</v>
      </c>
      <c r="B43" t="s">
        <v>228</v>
      </c>
    </row>
    <row r="44" spans="1:25" x14ac:dyDescent="0.35">
      <c r="B44" t="s">
        <v>319</v>
      </c>
    </row>
    <row r="46" spans="1:25" x14ac:dyDescent="0.35">
      <c r="C46" t="s">
        <v>229</v>
      </c>
      <c r="F46">
        <f>-X34*U6*LN(V26)</f>
        <v>20.868322236735647</v>
      </c>
      <c r="G46" t="s">
        <v>235</v>
      </c>
    </row>
    <row r="48" spans="1:25" x14ac:dyDescent="0.35">
      <c r="C48" t="s">
        <v>230</v>
      </c>
      <c r="F48">
        <f>-X33*U6*LN(U26)</f>
        <v>120.8926077115766</v>
      </c>
      <c r="G48" t="s">
        <v>235</v>
      </c>
    </row>
    <row r="50" spans="1:10" ht="15" thickBot="1" x14ac:dyDescent="0.4"/>
    <row r="51" spans="1:10" ht="26.5" thickBot="1" x14ac:dyDescent="0.65">
      <c r="A51" s="125" t="s">
        <v>240</v>
      </c>
      <c r="B51" s="1"/>
      <c r="C51" s="1"/>
      <c r="D51" s="1"/>
      <c r="E51" s="1"/>
      <c r="F51" s="1"/>
      <c r="G51" s="1"/>
      <c r="H51" s="1"/>
      <c r="I51" s="2"/>
    </row>
    <row r="53" spans="1:10" x14ac:dyDescent="0.35">
      <c r="A53" t="s">
        <v>317</v>
      </c>
    </row>
    <row r="57" spans="1:10" x14ac:dyDescent="0.35">
      <c r="A57" s="165" t="s">
        <v>318</v>
      </c>
      <c r="B57" s="165"/>
      <c r="C57" s="165"/>
      <c r="D57" s="165"/>
      <c r="E57" s="165"/>
      <c r="F57" s="165"/>
      <c r="G57" s="165"/>
      <c r="H57" s="165"/>
      <c r="I57" s="165"/>
      <c r="J57" s="165"/>
    </row>
    <row r="61" spans="1:10" ht="15" thickBot="1" x14ac:dyDescent="0.4"/>
    <row r="62" spans="1:10" ht="26.5" thickBot="1" x14ac:dyDescent="0.65">
      <c r="A62" s="125" t="s">
        <v>324</v>
      </c>
      <c r="B62" s="1"/>
      <c r="C62" s="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42F2-E6D0-42BD-8A0F-80E663096A55}">
  <dimension ref="A1:AX296"/>
  <sheetViews>
    <sheetView topLeftCell="Z257" zoomScale="70" zoomScaleNormal="70" workbookViewId="0">
      <selection activeCell="AP275" sqref="AP275"/>
    </sheetView>
  </sheetViews>
  <sheetFormatPr defaultRowHeight="14.5" x14ac:dyDescent="0.35"/>
  <cols>
    <col min="1" max="1" width="17.1796875" customWidth="1"/>
    <col min="2" max="3" width="11.6328125" customWidth="1"/>
    <col min="4" max="4" width="16.90625" bestFit="1" customWidth="1"/>
    <col min="5" max="5" width="9.54296875" bestFit="1" customWidth="1"/>
    <col min="9" max="9" width="13.26953125" customWidth="1"/>
    <col min="14" max="14" width="13" customWidth="1"/>
    <col min="22" max="22" width="16.453125" bestFit="1" customWidth="1"/>
    <col min="23" max="23" width="20.6328125" customWidth="1"/>
    <col min="25" max="25" width="15.36328125" customWidth="1"/>
    <col min="26" max="26" width="18.7265625" customWidth="1"/>
    <col min="27" max="27" width="19.6328125" customWidth="1"/>
    <col min="28" max="28" width="16.453125" customWidth="1"/>
    <col min="29" max="29" width="15.6328125" customWidth="1"/>
    <col min="30" max="30" width="20" customWidth="1"/>
    <col min="31" max="31" width="12" customWidth="1"/>
    <col min="32" max="32" width="11.90625" customWidth="1"/>
    <col min="33" max="33" width="13.6328125" customWidth="1"/>
    <col min="34" max="34" width="16.26953125" customWidth="1"/>
    <col min="35" max="35" width="19" customWidth="1"/>
    <col min="39" max="39" width="11.90625" customWidth="1"/>
    <col min="41" max="41" width="16.26953125" customWidth="1"/>
    <col min="42" max="42" width="11.08984375" customWidth="1"/>
    <col min="43" max="43" width="29.36328125" customWidth="1"/>
    <col min="44" max="44" width="17.7265625" customWidth="1"/>
  </cols>
  <sheetData>
    <row r="1" spans="1:14" ht="15" thickBot="1" x14ac:dyDescent="0.4">
      <c r="A1" s="4" t="s">
        <v>165</v>
      </c>
    </row>
    <row r="2" spans="1:14" x14ac:dyDescent="0.35">
      <c r="A2" t="s">
        <v>161</v>
      </c>
    </row>
    <row r="3" spans="1:14" x14ac:dyDescent="0.35">
      <c r="A3" t="s">
        <v>162</v>
      </c>
    </row>
    <row r="4" spans="1:14" x14ac:dyDescent="0.35">
      <c r="A4" t="s">
        <v>163</v>
      </c>
    </row>
    <row r="5" spans="1:14" x14ac:dyDescent="0.35">
      <c r="A5" t="s">
        <v>164</v>
      </c>
    </row>
    <row r="7" spans="1:14" ht="15" thickBot="1" x14ac:dyDescent="0.4"/>
    <row r="8" spans="1:14" ht="26.5" thickBot="1" x14ac:dyDescent="0.65">
      <c r="A8" s="125" t="s">
        <v>169</v>
      </c>
      <c r="B8" s="154"/>
      <c r="C8" s="155"/>
      <c r="D8" s="1"/>
      <c r="E8" s="1"/>
      <c r="F8" s="2"/>
    </row>
    <row r="9" spans="1:14" ht="15" thickBot="1" x14ac:dyDescent="0.4">
      <c r="I9" t="s">
        <v>173</v>
      </c>
      <c r="L9" t="s">
        <v>174</v>
      </c>
      <c r="N9" t="s">
        <v>175</v>
      </c>
    </row>
    <row r="10" spans="1:14" ht="15" thickBot="1" x14ac:dyDescent="0.4">
      <c r="B10" s="22" t="s">
        <v>113</v>
      </c>
      <c r="C10" s="23"/>
      <c r="D10" s="11" t="s">
        <v>170</v>
      </c>
      <c r="E10" s="3" t="s">
        <v>171</v>
      </c>
      <c r="F10" s="3" t="s">
        <v>172</v>
      </c>
    </row>
    <row r="11" spans="1:14" x14ac:dyDescent="0.35">
      <c r="B11" s="22" t="s">
        <v>32</v>
      </c>
      <c r="C11" s="23"/>
      <c r="D11" s="54" t="s">
        <v>153</v>
      </c>
      <c r="E11" s="54" t="s">
        <v>176</v>
      </c>
      <c r="F11" s="54" t="s">
        <v>177</v>
      </c>
    </row>
    <row r="12" spans="1:14" x14ac:dyDescent="0.35">
      <c r="B12" s="24" t="s">
        <v>33</v>
      </c>
      <c r="C12" s="25"/>
      <c r="D12" s="62" t="s">
        <v>154</v>
      </c>
      <c r="E12" s="62" t="s">
        <v>178</v>
      </c>
      <c r="F12" s="62" t="s">
        <v>177</v>
      </c>
    </row>
    <row r="13" spans="1:14" x14ac:dyDescent="0.35">
      <c r="B13" s="24" t="s">
        <v>34</v>
      </c>
      <c r="C13" s="25"/>
      <c r="D13" s="62" t="s">
        <v>179</v>
      </c>
      <c r="E13" s="62" t="s">
        <v>180</v>
      </c>
      <c r="F13" s="62" t="s">
        <v>181</v>
      </c>
    </row>
    <row r="14" spans="1:14" x14ac:dyDescent="0.35">
      <c r="B14" s="24" t="s">
        <v>35</v>
      </c>
      <c r="C14" s="25"/>
      <c r="D14" s="62" t="s">
        <v>182</v>
      </c>
      <c r="E14" s="62" t="s">
        <v>183</v>
      </c>
      <c r="F14" s="62" t="s">
        <v>184</v>
      </c>
    </row>
    <row r="15" spans="1:14" x14ac:dyDescent="0.35">
      <c r="B15" s="24" t="s">
        <v>129</v>
      </c>
      <c r="C15" s="25"/>
      <c r="D15" s="62" t="s">
        <v>183</v>
      </c>
      <c r="E15" s="62" t="s">
        <v>183</v>
      </c>
      <c r="F15" s="62" t="s">
        <v>177</v>
      </c>
    </row>
    <row r="16" spans="1:14" x14ac:dyDescent="0.35">
      <c r="B16" s="24" t="s">
        <v>36</v>
      </c>
      <c r="C16" s="25"/>
      <c r="D16" s="62" t="s">
        <v>183</v>
      </c>
      <c r="E16" s="62" t="s">
        <v>185</v>
      </c>
      <c r="F16" s="62" t="s">
        <v>177</v>
      </c>
    </row>
    <row r="17" spans="1:44" x14ac:dyDescent="0.35">
      <c r="B17" s="24" t="s">
        <v>63</v>
      </c>
      <c r="C17" s="25"/>
      <c r="D17" s="62" t="s">
        <v>142</v>
      </c>
      <c r="E17" s="62" t="s">
        <v>186</v>
      </c>
      <c r="F17" s="62" t="s">
        <v>177</v>
      </c>
    </row>
    <row r="18" spans="1:44" x14ac:dyDescent="0.35">
      <c r="B18" s="24" t="s">
        <v>65</v>
      </c>
      <c r="C18" s="25"/>
      <c r="D18" s="62" t="s">
        <v>187</v>
      </c>
      <c r="E18" s="62" t="s">
        <v>188</v>
      </c>
      <c r="F18" s="62" t="s">
        <v>177</v>
      </c>
    </row>
    <row r="19" spans="1:44" x14ac:dyDescent="0.35">
      <c r="B19" s="24" t="s">
        <v>37</v>
      </c>
      <c r="C19" s="25"/>
      <c r="D19" s="62" t="s">
        <v>189</v>
      </c>
      <c r="E19" s="62" t="s">
        <v>190</v>
      </c>
      <c r="F19" s="62" t="s">
        <v>177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44" ht="15" thickBot="1" x14ac:dyDescent="0.4">
      <c r="B20" s="26" t="s">
        <v>38</v>
      </c>
      <c r="C20" s="27"/>
      <c r="D20" s="59" t="s">
        <v>191</v>
      </c>
      <c r="E20" s="59" t="s">
        <v>192</v>
      </c>
      <c r="F20" s="59" t="s">
        <v>193</v>
      </c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</row>
    <row r="21" spans="1:44" ht="15" thickBot="1" x14ac:dyDescent="0.4"/>
    <row r="22" spans="1:44" ht="26.5" thickBot="1" x14ac:dyDescent="0.65">
      <c r="A22" s="125" t="s">
        <v>252</v>
      </c>
      <c r="B22" s="2"/>
      <c r="C22" s="2"/>
    </row>
    <row r="23" spans="1:44" ht="15" thickBot="1" x14ac:dyDescent="0.4">
      <c r="A23" s="12"/>
      <c r="B23" s="12"/>
    </row>
    <row r="24" spans="1:44" ht="26.5" thickBot="1" x14ac:dyDescent="0.65">
      <c r="A24" s="12"/>
      <c r="B24" s="105" t="s">
        <v>253</v>
      </c>
      <c r="C24" s="8"/>
      <c r="D24" s="1"/>
      <c r="E24" s="1"/>
      <c r="F24" s="1"/>
      <c r="G24" s="1"/>
      <c r="H24" s="1" t="s">
        <v>114</v>
      </c>
      <c r="I24" s="1"/>
      <c r="J24" s="1"/>
      <c r="K24" s="1"/>
      <c r="L24" s="1"/>
      <c r="M24" s="1"/>
      <c r="N24" s="2"/>
      <c r="O24" s="8"/>
      <c r="P24" s="1"/>
      <c r="Q24" s="1" t="s">
        <v>115</v>
      </c>
      <c r="R24" s="1"/>
      <c r="S24" s="1"/>
      <c r="T24" s="2"/>
      <c r="W24" s="143" t="s">
        <v>254</v>
      </c>
      <c r="Y24" s="143" t="s">
        <v>255</v>
      </c>
      <c r="AA24" s="143" t="s">
        <v>256</v>
      </c>
      <c r="AB24" s="219" t="s">
        <v>256</v>
      </c>
      <c r="AC24" s="68" t="s">
        <v>116</v>
      </c>
      <c r="AD24" s="69"/>
      <c r="AF24" s="81" t="s">
        <v>135</v>
      </c>
      <c r="AG24" s="82"/>
      <c r="AH24" s="82"/>
      <c r="AI24" s="83"/>
      <c r="AL24" s="89" t="s">
        <v>118</v>
      </c>
      <c r="AM24" s="90"/>
      <c r="AN24" s="90"/>
      <c r="AO24" s="99"/>
      <c r="AP24" s="99"/>
      <c r="AQ24" s="99"/>
      <c r="AR24" s="100"/>
    </row>
    <row r="25" spans="1:44" ht="26.5" thickBot="1" x14ac:dyDescent="0.65">
      <c r="A25" s="12"/>
      <c r="B25" s="59"/>
      <c r="C25" s="55">
        <v>1</v>
      </c>
      <c r="D25" s="55">
        <v>2</v>
      </c>
      <c r="E25" s="55">
        <v>3</v>
      </c>
      <c r="F25" s="55">
        <v>4</v>
      </c>
      <c r="G25" s="55">
        <v>5</v>
      </c>
      <c r="H25" s="55">
        <v>6</v>
      </c>
      <c r="I25" s="56">
        <v>7</v>
      </c>
      <c r="J25" s="57">
        <v>8</v>
      </c>
      <c r="K25" s="57">
        <v>9</v>
      </c>
      <c r="L25" s="56">
        <v>10</v>
      </c>
      <c r="M25" s="58">
        <v>11</v>
      </c>
      <c r="N25" s="58">
        <v>12</v>
      </c>
      <c r="O25" s="3" t="s">
        <v>103</v>
      </c>
      <c r="P25" s="3" t="s">
        <v>104</v>
      </c>
      <c r="Q25" s="3" t="s">
        <v>105</v>
      </c>
      <c r="R25" s="3" t="s">
        <v>106</v>
      </c>
      <c r="S25" s="3" t="s">
        <v>107</v>
      </c>
      <c r="T25" s="3" t="s">
        <v>108</v>
      </c>
      <c r="W25" s="54" t="s">
        <v>7</v>
      </c>
      <c r="Y25" s="54" t="s">
        <v>137</v>
      </c>
      <c r="AA25" s="8" t="s">
        <v>125</v>
      </c>
      <c r="AB25" s="3" t="s">
        <v>426</v>
      </c>
      <c r="AC25" s="231" t="s">
        <v>117</v>
      </c>
      <c r="AD25" s="70"/>
      <c r="AF25" s="84" t="s">
        <v>136</v>
      </c>
      <c r="AG25" s="85"/>
      <c r="AH25" s="85"/>
      <c r="AI25" s="86"/>
      <c r="AL25" s="91" t="s">
        <v>119</v>
      </c>
      <c r="AM25" s="92"/>
      <c r="AN25" s="92"/>
      <c r="AO25" s="71" t="s">
        <v>120</v>
      </c>
      <c r="AP25" s="72"/>
      <c r="AQ25" s="73"/>
      <c r="AR25" s="74" t="s">
        <v>121</v>
      </c>
    </row>
    <row r="26" spans="1:44" ht="15" thickBot="1" x14ac:dyDescent="0.4">
      <c r="A26" s="12"/>
      <c r="B26" s="95" t="s">
        <v>101</v>
      </c>
      <c r="C26" s="11">
        <v>1</v>
      </c>
      <c r="D26" s="11">
        <v>-1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63">
        <v>1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V26" s="76">
        <v>1</v>
      </c>
      <c r="W26" s="144">
        <v>108</v>
      </c>
      <c r="Y26" s="102">
        <v>-30.097439999999999</v>
      </c>
      <c r="AA26" s="22">
        <v>481.01223149101611</v>
      </c>
      <c r="AB26" s="62">
        <f>AA26/1000</f>
        <v>0.48101223149101613</v>
      </c>
      <c r="AO26" s="88" t="s">
        <v>126</v>
      </c>
      <c r="AP26" s="27"/>
    </row>
    <row r="27" spans="1:44" ht="15" thickBot="1" x14ac:dyDescent="0.4">
      <c r="A27" s="12"/>
      <c r="B27" s="95" t="s">
        <v>78</v>
      </c>
      <c r="C27" s="11">
        <v>0</v>
      </c>
      <c r="D27" s="11">
        <v>1</v>
      </c>
      <c r="E27" s="11">
        <v>-1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7">
        <v>0</v>
      </c>
      <c r="P27" s="64">
        <v>-1</v>
      </c>
      <c r="Q27" s="64">
        <v>0</v>
      </c>
      <c r="R27" s="64">
        <v>0</v>
      </c>
      <c r="S27" s="64">
        <v>0</v>
      </c>
      <c r="T27" s="37">
        <v>0</v>
      </c>
      <c r="V27" s="76">
        <v>2</v>
      </c>
      <c r="W27" s="145">
        <v>108</v>
      </c>
      <c r="Y27" s="149">
        <v>30298.212</v>
      </c>
      <c r="AA27" s="24">
        <v>29067.048730654777</v>
      </c>
      <c r="AB27" s="62">
        <f t="shared" ref="AB27:AB30" si="0">AA27/1000</f>
        <v>29.067048730654776</v>
      </c>
      <c r="AC27" s="67" t="s">
        <v>127</v>
      </c>
      <c r="AF27" s="87" t="s">
        <v>138</v>
      </c>
      <c r="AM27" t="s">
        <v>436</v>
      </c>
      <c r="AO27" s="62">
        <v>2361.1745310000001</v>
      </c>
    </row>
    <row r="28" spans="1:44" ht="15" thickBot="1" x14ac:dyDescent="0.4">
      <c r="B28" s="95" t="s">
        <v>77</v>
      </c>
      <c r="C28" s="11">
        <v>0</v>
      </c>
      <c r="D28" s="11">
        <v>0</v>
      </c>
      <c r="E28" s="11">
        <v>1</v>
      </c>
      <c r="F28" s="11">
        <v>-1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37">
        <v>0</v>
      </c>
      <c r="P28" s="37">
        <v>0</v>
      </c>
      <c r="Q28" s="37">
        <v>1</v>
      </c>
      <c r="R28" s="37">
        <v>0</v>
      </c>
      <c r="S28" s="37">
        <v>0</v>
      </c>
      <c r="T28" s="37">
        <v>0</v>
      </c>
      <c r="V28" s="76">
        <v>3</v>
      </c>
      <c r="W28" s="145">
        <v>108</v>
      </c>
      <c r="Y28" s="149">
        <v>301.83083999999997</v>
      </c>
      <c r="AA28" s="24">
        <v>20170.055680396013</v>
      </c>
      <c r="AB28" s="62">
        <f t="shared" si="0"/>
        <v>20.170055680396015</v>
      </c>
      <c r="AO28" s="62">
        <v>2263.4367000000002</v>
      </c>
      <c r="AQ28" s="78" t="s">
        <v>134</v>
      </c>
    </row>
    <row r="29" spans="1:44" ht="15" thickBot="1" x14ac:dyDescent="0.4">
      <c r="B29" s="95" t="s">
        <v>102</v>
      </c>
      <c r="C29" s="11">
        <v>0</v>
      </c>
      <c r="D29" s="11">
        <v>0</v>
      </c>
      <c r="E29" s="11">
        <v>0</v>
      </c>
      <c r="F29" s="11">
        <v>1</v>
      </c>
      <c r="G29" s="11">
        <v>-1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64">
        <v>0</v>
      </c>
      <c r="P29" s="37">
        <v>0</v>
      </c>
      <c r="Q29" s="37">
        <v>0</v>
      </c>
      <c r="R29" s="66">
        <v>-1</v>
      </c>
      <c r="S29" s="37">
        <v>0</v>
      </c>
      <c r="T29" s="65">
        <v>0</v>
      </c>
      <c r="V29" s="76">
        <v>4</v>
      </c>
      <c r="W29" s="145">
        <v>108</v>
      </c>
      <c r="Y29" s="149">
        <v>31381.02</v>
      </c>
      <c r="AA29" s="24">
        <v>49620.024079831601</v>
      </c>
      <c r="AB29" s="62">
        <f t="shared" si="0"/>
        <v>49.620024079831602</v>
      </c>
      <c r="AO29" s="62">
        <v>8896.9930000000004</v>
      </c>
    </row>
    <row r="30" spans="1:44" ht="15" thickBot="1" x14ac:dyDescent="0.4">
      <c r="B30" s="95" t="s">
        <v>36</v>
      </c>
      <c r="C30" s="11">
        <v>0</v>
      </c>
      <c r="D30" s="11">
        <v>0</v>
      </c>
      <c r="E30" s="11">
        <v>0</v>
      </c>
      <c r="F30" s="11">
        <v>0</v>
      </c>
      <c r="G30" s="11">
        <v>1</v>
      </c>
      <c r="H30" s="11">
        <v>-1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64">
        <v>0</v>
      </c>
      <c r="P30" s="64">
        <v>0</v>
      </c>
      <c r="Q30" s="64">
        <v>0</v>
      </c>
      <c r="R30" s="64">
        <v>0</v>
      </c>
      <c r="S30" s="64">
        <v>0</v>
      </c>
      <c r="T30" s="37">
        <v>0</v>
      </c>
      <c r="V30" s="76">
        <v>5</v>
      </c>
      <c r="W30" s="145">
        <v>108</v>
      </c>
      <c r="Y30" s="149">
        <v>-104.02527599999999</v>
      </c>
      <c r="AA30" s="24">
        <v>39813.905877634847</v>
      </c>
      <c r="AB30" s="62">
        <f t="shared" si="0"/>
        <v>39.813905877634845</v>
      </c>
      <c r="AO30" s="62">
        <v>9806.1180000000004</v>
      </c>
    </row>
    <row r="31" spans="1:44" ht="15" thickBot="1" x14ac:dyDescent="0.4">
      <c r="B31" s="95" t="s">
        <v>63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1</v>
      </c>
      <c r="I31" s="11">
        <v>1</v>
      </c>
      <c r="J31" s="11">
        <v>-1</v>
      </c>
      <c r="K31" s="11">
        <v>0</v>
      </c>
      <c r="L31" s="11">
        <v>0</v>
      </c>
      <c r="M31" s="11">
        <v>0</v>
      </c>
      <c r="N31" s="11">
        <v>0</v>
      </c>
      <c r="O31" s="64">
        <v>0</v>
      </c>
      <c r="P31" s="64">
        <v>0</v>
      </c>
      <c r="Q31" s="64">
        <v>0</v>
      </c>
      <c r="R31" s="64">
        <v>0</v>
      </c>
      <c r="S31" s="37">
        <v>0</v>
      </c>
      <c r="T31" s="65">
        <v>0</v>
      </c>
      <c r="V31" s="76">
        <v>6</v>
      </c>
      <c r="W31" s="145">
        <v>108</v>
      </c>
      <c r="Y31" s="149">
        <v>-104.024196</v>
      </c>
      <c r="AA31" s="24">
        <v>34882.375055289696</v>
      </c>
      <c r="AB31" s="62">
        <v>39.813905877634845</v>
      </c>
      <c r="AO31" s="62">
        <v>4931.5309999999999</v>
      </c>
    </row>
    <row r="32" spans="1:44" ht="15" thickBot="1" x14ac:dyDescent="0.4">
      <c r="B32" s="95" t="s">
        <v>37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-1</v>
      </c>
      <c r="L32" s="11">
        <v>0</v>
      </c>
      <c r="M32" s="11">
        <v>0</v>
      </c>
      <c r="N32" s="11">
        <v>0</v>
      </c>
      <c r="O32" s="64">
        <v>0</v>
      </c>
      <c r="P32" s="64">
        <v>0</v>
      </c>
      <c r="Q32" s="64">
        <v>0</v>
      </c>
      <c r="R32" s="64">
        <v>0</v>
      </c>
      <c r="S32" s="37">
        <v>-1</v>
      </c>
      <c r="T32" s="65">
        <v>0</v>
      </c>
      <c r="V32" s="76">
        <v>7</v>
      </c>
      <c r="W32" s="145">
        <v>1.24</v>
      </c>
      <c r="Y32" s="149">
        <v>-5830.2691999999997</v>
      </c>
      <c r="AA32" s="24">
        <v>64973.451103741565</v>
      </c>
      <c r="AB32" s="62">
        <f>AA31/1000</f>
        <v>34.8823750552897</v>
      </c>
      <c r="AN32" s="77"/>
      <c r="AO32" s="62">
        <v>36895.128100000002</v>
      </c>
    </row>
    <row r="33" spans="2:41" ht="15" thickBot="1" x14ac:dyDescent="0.4">
      <c r="B33" s="95" t="s">
        <v>65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</v>
      </c>
      <c r="L33" s="11">
        <v>1</v>
      </c>
      <c r="M33" s="11">
        <v>-1</v>
      </c>
      <c r="N33" s="11">
        <v>0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37">
        <v>0</v>
      </c>
      <c r="V33" s="76">
        <v>8</v>
      </c>
      <c r="W33" s="145">
        <v>109.24</v>
      </c>
      <c r="Y33" s="149">
        <v>-4816.4462199999998</v>
      </c>
      <c r="AA33" s="24">
        <v>62960.698411220263</v>
      </c>
      <c r="AB33" s="62">
        <f t="shared" ref="AB33:AB44" si="1">AA32/1000</f>
        <v>64.973451103741567</v>
      </c>
      <c r="AO33" s="62">
        <v>24342.365229999999</v>
      </c>
    </row>
    <row r="34" spans="2:41" ht="15" thickBot="1" x14ac:dyDescent="0.4">
      <c r="B34" s="95" t="s">
        <v>38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-1</v>
      </c>
      <c r="O34" s="64">
        <v>0</v>
      </c>
      <c r="P34" s="64">
        <v>0</v>
      </c>
      <c r="Q34" s="64">
        <v>0</v>
      </c>
      <c r="R34" s="64">
        <v>0</v>
      </c>
      <c r="S34" s="64">
        <v>0</v>
      </c>
      <c r="T34" s="37">
        <v>-1</v>
      </c>
      <c r="V34" s="76">
        <v>9</v>
      </c>
      <c r="W34" s="145">
        <v>109.24</v>
      </c>
      <c r="Y34" s="149">
        <v>-27089.553679999997</v>
      </c>
      <c r="AA34" s="24">
        <v>35407.343908953866</v>
      </c>
      <c r="AB34" s="62">
        <f t="shared" si="1"/>
        <v>62.960698411220264</v>
      </c>
      <c r="AN34" s="77"/>
      <c r="AO34" s="62">
        <v>2734.8290999999999</v>
      </c>
    </row>
    <row r="35" spans="2:41" ht="15" thickBot="1" x14ac:dyDescent="0.4">
      <c r="V35" s="76">
        <v>10</v>
      </c>
      <c r="W35" s="145">
        <v>1.29</v>
      </c>
      <c r="Y35" s="149">
        <v>-6065.3607000000002</v>
      </c>
      <c r="AA35" s="24">
        <v>67593.348325666622</v>
      </c>
      <c r="AB35" s="62">
        <f t="shared" si="1"/>
        <v>35.40734390895387</v>
      </c>
      <c r="AO35" s="59">
        <v>5609.3033000000096</v>
      </c>
    </row>
    <row r="36" spans="2:41" x14ac:dyDescent="0.35">
      <c r="V36" s="76">
        <v>11</v>
      </c>
      <c r="W36" s="145">
        <v>110.53</v>
      </c>
      <c r="Y36" s="149">
        <v>-31884.699629999999</v>
      </c>
      <c r="AA36" s="24">
        <v>78658.327437671323</v>
      </c>
      <c r="AB36" s="62">
        <f t="shared" si="1"/>
        <v>67.593348325666625</v>
      </c>
      <c r="AL36" s="93"/>
    </row>
    <row r="37" spans="2:41" x14ac:dyDescent="0.35">
      <c r="V37" s="76">
        <v>12</v>
      </c>
      <c r="W37" s="145">
        <v>110.53</v>
      </c>
      <c r="Y37" s="149">
        <v>-77975.15698</v>
      </c>
      <c r="AA37" s="24">
        <v>19186.423668041432</v>
      </c>
      <c r="AB37" s="62">
        <f t="shared" si="1"/>
        <v>78.658327437671318</v>
      </c>
    </row>
    <row r="38" spans="2:41" x14ac:dyDescent="0.35">
      <c r="V38" s="76">
        <v>13</v>
      </c>
      <c r="W38" s="146">
        <v>0</v>
      </c>
      <c r="Y38" s="42">
        <f>(30947211/1000)</f>
        <v>30947.210999999999</v>
      </c>
      <c r="AA38" s="228">
        <v>30947.210999999999</v>
      </c>
      <c r="AB38" s="62">
        <f t="shared" si="1"/>
        <v>19.186423668041432</v>
      </c>
    </row>
    <row r="39" spans="2:41" x14ac:dyDescent="0.35">
      <c r="V39" s="76">
        <v>14</v>
      </c>
      <c r="W39" s="146">
        <v>0</v>
      </c>
      <c r="Y39" s="42">
        <f>29.996338*1000</f>
        <v>29996.338</v>
      </c>
      <c r="AA39" s="229">
        <v>0</v>
      </c>
      <c r="AB39" s="62">
        <f t="shared" si="1"/>
        <v>30.947210999999999</v>
      </c>
    </row>
    <row r="40" spans="2:41" x14ac:dyDescent="0.35">
      <c r="V40" s="76">
        <v>15</v>
      </c>
      <c r="W40" s="146">
        <v>0</v>
      </c>
      <c r="Y40" s="42">
        <f>31.713405*1000</f>
        <v>31713.405000000002</v>
      </c>
      <c r="AA40" s="228">
        <v>31713.404999999999</v>
      </c>
      <c r="AB40" s="62">
        <f t="shared" si="1"/>
        <v>0</v>
      </c>
    </row>
    <row r="41" spans="2:41" x14ac:dyDescent="0.35">
      <c r="V41" s="76">
        <v>16</v>
      </c>
      <c r="W41" s="146">
        <v>0</v>
      </c>
      <c r="Y41" s="42">
        <f>31.484993*1000</f>
        <v>31484.992999999999</v>
      </c>
      <c r="AA41" s="229">
        <v>0</v>
      </c>
      <c r="AB41" s="62">
        <f t="shared" si="1"/>
        <v>31.713404999999998</v>
      </c>
    </row>
    <row r="42" spans="2:41" x14ac:dyDescent="0.35">
      <c r="V42" s="76">
        <v>17</v>
      </c>
      <c r="W42" s="146">
        <v>0</v>
      </c>
      <c r="Y42" s="150">
        <f>24.818525*1000</f>
        <v>24818.525000000001</v>
      </c>
      <c r="AA42" s="229">
        <v>24818.525000000001</v>
      </c>
      <c r="AB42" s="62">
        <f t="shared" si="1"/>
        <v>0</v>
      </c>
    </row>
    <row r="43" spans="2:41" ht="15" thickBot="1" x14ac:dyDescent="0.4">
      <c r="V43" s="76">
        <v>18</v>
      </c>
      <c r="W43" s="147">
        <v>0</v>
      </c>
      <c r="Y43" s="10">
        <f>53.8626*1000</f>
        <v>53862.6</v>
      </c>
      <c r="AA43" s="230">
        <v>53862.6</v>
      </c>
      <c r="AB43" s="62">
        <f t="shared" si="1"/>
        <v>24.818525000000001</v>
      </c>
    </row>
    <row r="44" spans="2:41" ht="15" thickBot="1" x14ac:dyDescent="0.4">
      <c r="AB44" s="59">
        <f t="shared" si="1"/>
        <v>53.8626</v>
      </c>
    </row>
    <row r="45" spans="2:41" x14ac:dyDescent="0.35">
      <c r="W45" t="s">
        <v>257</v>
      </c>
      <c r="Y45" t="s">
        <v>258</v>
      </c>
      <c r="AA45" t="s">
        <v>259</v>
      </c>
    </row>
    <row r="48" spans="2:41" ht="15" thickBot="1" x14ac:dyDescent="0.4"/>
    <row r="49" spans="1:41" ht="26.5" thickBot="1" x14ac:dyDescent="0.65">
      <c r="A49" s="125" t="s">
        <v>166</v>
      </c>
      <c r="B49" s="154"/>
      <c r="C49" s="154"/>
      <c r="D49" s="154"/>
      <c r="E49" s="155"/>
      <c r="F49" s="1"/>
      <c r="G49" s="1"/>
      <c r="H49" s="2"/>
      <c r="AM49" t="s">
        <v>436</v>
      </c>
    </row>
    <row r="50" spans="1:41" ht="15" thickBot="1" x14ac:dyDescent="0.4">
      <c r="X50" s="12"/>
      <c r="Y50" s="12"/>
      <c r="Z50" s="12"/>
      <c r="AA50" s="12"/>
      <c r="AC50" s="12"/>
      <c r="AD50" s="12"/>
      <c r="AE50" s="12"/>
      <c r="AF50" s="12"/>
      <c r="AG50" s="12"/>
      <c r="AH50" s="12"/>
      <c r="AI50" s="12"/>
      <c r="AJ50" s="12"/>
    </row>
    <row r="51" spans="1:41" ht="26.5" thickBot="1" x14ac:dyDescent="0.65">
      <c r="B51" s="105" t="s">
        <v>167</v>
      </c>
      <c r="C51" s="8"/>
      <c r="D51" s="1"/>
      <c r="E51" s="1"/>
      <c r="F51" s="1"/>
      <c r="G51" s="1"/>
      <c r="H51" s="1" t="s">
        <v>114</v>
      </c>
      <c r="I51" s="1"/>
      <c r="J51" s="1"/>
      <c r="K51" s="1"/>
      <c r="L51" s="1"/>
      <c r="M51" s="1"/>
      <c r="N51" s="2"/>
      <c r="O51" s="8"/>
      <c r="P51" s="1"/>
      <c r="Q51" s="1" t="s">
        <v>115</v>
      </c>
      <c r="R51" s="1"/>
      <c r="S51" s="1"/>
      <c r="T51" s="2"/>
      <c r="V51" s="105" t="s">
        <v>260</v>
      </c>
      <c r="W51" t="s">
        <v>168</v>
      </c>
      <c r="X51" s="12"/>
      <c r="Y51" s="12"/>
      <c r="AB51" s="12"/>
      <c r="AE51" s="12"/>
      <c r="AF51" s="12"/>
      <c r="AG51" s="12"/>
      <c r="AH51" s="12"/>
      <c r="AI51" s="12"/>
      <c r="AJ51" s="12"/>
      <c r="AM51" s="210" t="s">
        <v>261</v>
      </c>
      <c r="AO51" s="210" t="s">
        <v>262</v>
      </c>
    </row>
    <row r="52" spans="1:41" ht="15" thickBot="1" x14ac:dyDescent="0.4">
      <c r="B52" s="59"/>
      <c r="C52" s="55">
        <v>1</v>
      </c>
      <c r="D52" s="55">
        <v>2</v>
      </c>
      <c r="E52" s="55">
        <v>3</v>
      </c>
      <c r="F52" s="55">
        <v>4</v>
      </c>
      <c r="G52" s="55">
        <v>5</v>
      </c>
      <c r="H52" s="55">
        <v>6</v>
      </c>
      <c r="I52" s="56">
        <v>7</v>
      </c>
      <c r="J52" s="57">
        <v>8</v>
      </c>
      <c r="K52" s="57">
        <v>9</v>
      </c>
      <c r="L52" s="56">
        <v>10</v>
      </c>
      <c r="M52" s="58">
        <v>11</v>
      </c>
      <c r="N52" s="58">
        <v>12</v>
      </c>
      <c r="O52" s="3" t="s">
        <v>103</v>
      </c>
      <c r="P52" s="3" t="s">
        <v>104</v>
      </c>
      <c r="Q52" s="3" t="s">
        <v>105</v>
      </c>
      <c r="R52" s="3" t="s">
        <v>106</v>
      </c>
      <c r="S52" s="3" t="s">
        <v>107</v>
      </c>
      <c r="T52" s="3" t="s">
        <v>108</v>
      </c>
      <c r="V52" s="6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M52" s="141"/>
      <c r="AO52" s="140"/>
    </row>
    <row r="53" spans="1:41" ht="15" thickBot="1" x14ac:dyDescent="0.4">
      <c r="B53" s="95" t="s">
        <v>101</v>
      </c>
      <c r="C53" s="11">
        <v>1</v>
      </c>
      <c r="D53" s="11">
        <v>-1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63">
        <v>1</v>
      </c>
      <c r="P53" s="63">
        <v>0</v>
      </c>
      <c r="Q53" s="63">
        <v>0</v>
      </c>
      <c r="R53" s="63">
        <v>0</v>
      </c>
      <c r="S53" s="63">
        <v>0</v>
      </c>
      <c r="T53" s="63">
        <v>0</v>
      </c>
      <c r="V53" s="63">
        <v>0</v>
      </c>
      <c r="X53" s="12"/>
      <c r="Y53" s="12"/>
      <c r="Z53" s="22"/>
      <c r="AA53" s="28"/>
      <c r="AB53" s="28"/>
      <c r="AC53" s="28"/>
      <c r="AD53" s="23"/>
      <c r="AE53" s="12"/>
      <c r="AF53" s="12"/>
      <c r="AG53" s="12"/>
      <c r="AH53" s="12"/>
      <c r="AI53" s="12"/>
      <c r="AJ53" s="12"/>
      <c r="AL53" s="126">
        <v>1</v>
      </c>
      <c r="AM53" s="211">
        <v>481.01223149999998</v>
      </c>
      <c r="AO53" s="211">
        <f>AM53/AA26</f>
        <v>1.0000000000186771</v>
      </c>
    </row>
    <row r="54" spans="1:41" ht="15" thickBot="1" x14ac:dyDescent="0.4">
      <c r="B54" s="95" t="s">
        <v>78</v>
      </c>
      <c r="C54" s="11">
        <v>0</v>
      </c>
      <c r="D54" s="11">
        <v>1</v>
      </c>
      <c r="E54" s="11">
        <v>-1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37">
        <v>0</v>
      </c>
      <c r="P54" s="64">
        <v>-1</v>
      </c>
      <c r="Q54" s="64">
        <v>0</v>
      </c>
      <c r="R54" s="64">
        <v>0</v>
      </c>
      <c r="S54" s="64">
        <v>0</v>
      </c>
      <c r="T54" s="37">
        <v>0</v>
      </c>
      <c r="V54" s="94">
        <v>0</v>
      </c>
      <c r="X54" s="12"/>
      <c r="Y54" s="12"/>
      <c r="Z54" s="24"/>
      <c r="AA54" s="12"/>
      <c r="AB54" s="12"/>
      <c r="AC54" s="12"/>
      <c r="AD54" s="25"/>
      <c r="AE54" s="12"/>
      <c r="AF54" s="12"/>
      <c r="AG54" s="12"/>
      <c r="AH54" s="12"/>
      <c r="AI54" s="12"/>
      <c r="AJ54" s="12"/>
      <c r="AL54" s="126">
        <v>2</v>
      </c>
      <c r="AM54" s="55">
        <v>31428.2232315</v>
      </c>
      <c r="AO54" s="55">
        <f t="shared" ref="AO54:AO70" si="2">AM54/AA27</f>
        <v>1.0812319999434643</v>
      </c>
    </row>
    <row r="55" spans="1:41" ht="15" thickBot="1" x14ac:dyDescent="0.4">
      <c r="B55" s="95" t="s">
        <v>77</v>
      </c>
      <c r="C55" s="11">
        <v>0</v>
      </c>
      <c r="D55" s="11">
        <v>0</v>
      </c>
      <c r="E55" s="11">
        <v>1</v>
      </c>
      <c r="F55" s="11">
        <v>-1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37">
        <v>0</v>
      </c>
      <c r="P55" s="37">
        <v>0</v>
      </c>
      <c r="Q55" s="37">
        <v>1</v>
      </c>
      <c r="R55" s="37">
        <v>0</v>
      </c>
      <c r="S55" s="37">
        <v>0</v>
      </c>
      <c r="T55" s="37">
        <v>0</v>
      </c>
      <c r="V55" s="94">
        <v>0</v>
      </c>
      <c r="X55" s="12"/>
      <c r="Y55" s="12"/>
      <c r="Z55" s="24"/>
      <c r="AA55" s="12"/>
      <c r="AB55" s="12"/>
      <c r="AC55" s="12"/>
      <c r="AD55" s="25"/>
      <c r="AE55" s="12"/>
      <c r="AF55" s="12"/>
      <c r="AG55" s="12"/>
      <c r="AH55" s="12"/>
      <c r="AI55" s="12"/>
      <c r="AJ55" s="12"/>
      <c r="AL55" s="126">
        <v>3</v>
      </c>
      <c r="AM55" s="55">
        <v>31428.2232315</v>
      </c>
      <c r="AO55" s="55">
        <f t="shared" si="2"/>
        <v>1.5581624428556335</v>
      </c>
    </row>
    <row r="56" spans="1:41" ht="15" thickBot="1" x14ac:dyDescent="0.4">
      <c r="B56" s="95" t="s">
        <v>102</v>
      </c>
      <c r="C56" s="11">
        <v>0</v>
      </c>
      <c r="D56" s="11">
        <v>0</v>
      </c>
      <c r="E56" s="11">
        <v>0</v>
      </c>
      <c r="F56" s="11">
        <v>1</v>
      </c>
      <c r="G56" s="11">
        <v>-1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64">
        <v>0</v>
      </c>
      <c r="P56" s="37">
        <v>0</v>
      </c>
      <c r="Q56" s="37">
        <v>0</v>
      </c>
      <c r="R56" s="66">
        <v>-1</v>
      </c>
      <c r="S56" s="37">
        <v>0</v>
      </c>
      <c r="T56" s="65">
        <v>0</v>
      </c>
      <c r="V56" s="94">
        <v>0</v>
      </c>
      <c r="X56" s="12"/>
      <c r="Y56" s="12"/>
      <c r="Z56" s="24"/>
      <c r="AA56" s="12"/>
      <c r="AB56" s="12"/>
      <c r="AC56" s="12"/>
      <c r="AD56" s="25"/>
      <c r="AE56" s="12"/>
      <c r="AF56" s="12"/>
      <c r="AG56" s="12"/>
      <c r="AH56" s="12"/>
      <c r="AI56" s="12"/>
      <c r="AJ56" s="12"/>
      <c r="AL56" s="126">
        <v>4</v>
      </c>
      <c r="AM56" s="55">
        <v>63141.628231499999</v>
      </c>
      <c r="AO56" s="55">
        <f t="shared" si="2"/>
        <v>1.2725029744023109</v>
      </c>
    </row>
    <row r="57" spans="1:41" ht="15" thickBot="1" x14ac:dyDescent="0.4">
      <c r="B57" s="95" t="s">
        <v>36</v>
      </c>
      <c r="C57" s="11">
        <v>0</v>
      </c>
      <c r="D57" s="11">
        <v>0</v>
      </c>
      <c r="E57" s="11">
        <v>0</v>
      </c>
      <c r="F57" s="11">
        <v>0</v>
      </c>
      <c r="G57" s="11">
        <v>1</v>
      </c>
      <c r="H57" s="11">
        <v>-1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64">
        <v>0</v>
      </c>
      <c r="P57" s="64">
        <v>0</v>
      </c>
      <c r="Q57" s="64">
        <v>0</v>
      </c>
      <c r="R57" s="64">
        <v>0</v>
      </c>
      <c r="S57" s="64">
        <v>0</v>
      </c>
      <c r="T57" s="37">
        <v>0</v>
      </c>
      <c r="V57" s="94">
        <v>0</v>
      </c>
      <c r="X57" s="12"/>
      <c r="Y57" s="12"/>
      <c r="Z57" s="24"/>
      <c r="AA57" s="12"/>
      <c r="AB57" s="12"/>
      <c r="AC57" s="12"/>
      <c r="AD57" s="25"/>
      <c r="AE57" s="12"/>
      <c r="AF57" s="12"/>
      <c r="AG57" s="12"/>
      <c r="AH57" s="12"/>
      <c r="AI57" s="12"/>
      <c r="AJ57" s="12"/>
      <c r="AL57" s="126">
        <v>5</v>
      </c>
      <c r="AM57" s="55">
        <v>63141.628231499999</v>
      </c>
      <c r="AO57" s="55">
        <f t="shared" si="2"/>
        <v>1.5859189607159172</v>
      </c>
    </row>
    <row r="58" spans="1:41" ht="15" thickBot="1" x14ac:dyDescent="0.4">
      <c r="B58" s="95" t="s">
        <v>63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1</v>
      </c>
      <c r="I58" s="11">
        <v>1</v>
      </c>
      <c r="J58" s="11">
        <v>-1</v>
      </c>
      <c r="K58" s="11">
        <v>0</v>
      </c>
      <c r="L58" s="11">
        <v>0</v>
      </c>
      <c r="M58" s="11">
        <v>0</v>
      </c>
      <c r="N58" s="11">
        <v>0</v>
      </c>
      <c r="O58" s="64">
        <v>0</v>
      </c>
      <c r="P58" s="64">
        <v>0</v>
      </c>
      <c r="Q58" s="64">
        <v>0</v>
      </c>
      <c r="R58" s="64">
        <v>0</v>
      </c>
      <c r="S58" s="37">
        <v>0</v>
      </c>
      <c r="T58" s="65">
        <v>0</v>
      </c>
      <c r="V58" s="94">
        <v>0</v>
      </c>
      <c r="X58" s="12"/>
      <c r="Y58" s="12"/>
      <c r="Z58" s="26"/>
      <c r="AA58" s="29"/>
      <c r="AB58" s="29"/>
      <c r="AC58" s="29"/>
      <c r="AD58" s="27"/>
      <c r="AE58" s="12"/>
      <c r="AF58" s="12"/>
      <c r="AG58" s="12"/>
      <c r="AH58" s="12"/>
      <c r="AI58" s="12"/>
      <c r="AJ58" s="12"/>
      <c r="AL58" s="126">
        <v>6</v>
      </c>
      <c r="AM58" s="55">
        <v>63141.628231499999</v>
      </c>
      <c r="AO58" s="55">
        <f t="shared" si="2"/>
        <v>1.8101298472772702</v>
      </c>
    </row>
    <row r="59" spans="1:41" ht="15" thickBot="1" x14ac:dyDescent="0.4">
      <c r="B59" s="95" t="s">
        <v>37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1</v>
      </c>
      <c r="K59" s="11">
        <v>-1</v>
      </c>
      <c r="L59" s="11">
        <v>0</v>
      </c>
      <c r="M59" s="11">
        <v>0</v>
      </c>
      <c r="N59" s="11">
        <v>0</v>
      </c>
      <c r="O59" s="64">
        <v>0</v>
      </c>
      <c r="P59" s="64">
        <v>0</v>
      </c>
      <c r="Q59" s="64">
        <v>0</v>
      </c>
      <c r="R59" s="64">
        <v>0</v>
      </c>
      <c r="S59" s="37">
        <v>-1</v>
      </c>
      <c r="T59" s="65">
        <v>0</v>
      </c>
      <c r="V59" s="94">
        <v>0</v>
      </c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L59" s="126">
        <v>7</v>
      </c>
      <c r="AM59" s="55">
        <v>64973.451099999998</v>
      </c>
      <c r="AO59" s="55">
        <f t="shared" si="2"/>
        <v>0.99999999994241395</v>
      </c>
    </row>
    <row r="60" spans="1:41" ht="15" thickBot="1" x14ac:dyDescent="0.4">
      <c r="B60" s="95" t="s">
        <v>65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1</v>
      </c>
      <c r="L60" s="11">
        <v>1</v>
      </c>
      <c r="M60" s="11">
        <v>-1</v>
      </c>
      <c r="N60" s="11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37">
        <v>0</v>
      </c>
      <c r="V60" s="94">
        <v>0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L60" s="126">
        <v>8</v>
      </c>
      <c r="AM60" s="55">
        <v>128115.0793315</v>
      </c>
      <c r="AO60" s="55">
        <f t="shared" si="2"/>
        <v>2.0348420929947713</v>
      </c>
    </row>
    <row r="61" spans="1:41" ht="15" thickBot="1" x14ac:dyDescent="0.4">
      <c r="B61" s="95" t="s">
        <v>38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-1</v>
      </c>
      <c r="O61" s="64">
        <v>0</v>
      </c>
      <c r="P61" s="64">
        <v>0</v>
      </c>
      <c r="Q61" s="64">
        <v>0</v>
      </c>
      <c r="R61" s="64">
        <v>0</v>
      </c>
      <c r="S61" s="64">
        <v>0</v>
      </c>
      <c r="T61" s="37">
        <v>-1</v>
      </c>
      <c r="V61" s="94">
        <v>0</v>
      </c>
      <c r="AB61" s="12"/>
      <c r="AL61" s="126">
        <v>9</v>
      </c>
      <c r="AM61" s="55">
        <v>77253.392836894505</v>
      </c>
      <c r="AO61" s="55">
        <f t="shared" si="2"/>
        <v>2.1818465975743111</v>
      </c>
    </row>
    <row r="62" spans="1:41" ht="15" thickBot="1" x14ac:dyDescent="0.4">
      <c r="B62" s="96" t="s">
        <v>139</v>
      </c>
      <c r="C62" s="37">
        <v>1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94">
        <v>0</v>
      </c>
      <c r="V62" s="42">
        <f>AA26</f>
        <v>481.01223149101611</v>
      </c>
      <c r="AL62" s="126">
        <v>10</v>
      </c>
      <c r="AM62" s="55">
        <v>67593.348329999993</v>
      </c>
      <c r="AO62" s="55">
        <f t="shared" si="2"/>
        <v>1.0000000000641094</v>
      </c>
    </row>
    <row r="63" spans="1:41" ht="15" thickBot="1" x14ac:dyDescent="0.4">
      <c r="B63" s="96" t="s">
        <v>140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1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V63" s="42">
        <f>AA32</f>
        <v>64973.451103741565</v>
      </c>
      <c r="AL63" s="126">
        <v>11</v>
      </c>
      <c r="AM63" s="55">
        <v>144846.74116689499</v>
      </c>
      <c r="AO63" s="55">
        <f t="shared" si="2"/>
        <v>1.8414673421790111</v>
      </c>
    </row>
    <row r="64" spans="1:41" ht="15" thickBot="1" x14ac:dyDescent="0.4">
      <c r="B64" s="96" t="s">
        <v>141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1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V64" s="42">
        <f>AA35</f>
        <v>67593.348325666622</v>
      </c>
      <c r="AL64" s="126">
        <v>12</v>
      </c>
      <c r="AM64" s="55">
        <v>0</v>
      </c>
      <c r="AO64" s="55">
        <f t="shared" si="2"/>
        <v>0</v>
      </c>
    </row>
    <row r="65" spans="2:41" ht="15" thickBot="1" x14ac:dyDescent="0.4">
      <c r="B65" s="96" t="s">
        <v>145</v>
      </c>
      <c r="C65" s="94">
        <v>0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1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V65" s="101">
        <f>AA38</f>
        <v>30947.210999999999</v>
      </c>
      <c r="AL65" s="126">
        <v>13</v>
      </c>
      <c r="AM65" s="55">
        <v>30947.210999999999</v>
      </c>
      <c r="AO65" s="55">
        <f t="shared" si="2"/>
        <v>1</v>
      </c>
    </row>
    <row r="66" spans="2:41" ht="15" thickBot="1" x14ac:dyDescent="0.4">
      <c r="B66" s="96" t="s">
        <v>146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1</v>
      </c>
      <c r="R66" s="37">
        <v>0</v>
      </c>
      <c r="S66" s="37">
        <v>0</v>
      </c>
      <c r="T66" s="37">
        <v>0</v>
      </c>
      <c r="V66" s="101">
        <f>AA40</f>
        <v>31713.404999999999</v>
      </c>
      <c r="AL66" s="126">
        <v>14</v>
      </c>
      <c r="AM66" s="55">
        <v>0</v>
      </c>
      <c r="AO66" s="55">
        <f>0</f>
        <v>0</v>
      </c>
    </row>
    <row r="67" spans="2:41" ht="15" thickBot="1" x14ac:dyDescent="0.4">
      <c r="B67" s="96" t="s">
        <v>143</v>
      </c>
      <c r="C67" s="94">
        <v>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1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V67" s="94">
        <v>0</v>
      </c>
      <c r="AL67" s="126">
        <v>15</v>
      </c>
      <c r="AM67" s="55">
        <v>31713.404999999999</v>
      </c>
      <c r="AO67" s="55">
        <f t="shared" si="2"/>
        <v>1</v>
      </c>
    </row>
    <row r="68" spans="2:41" ht="15" thickBot="1" x14ac:dyDescent="0.4">
      <c r="B68" s="96" t="s">
        <v>156</v>
      </c>
      <c r="C68" s="37">
        <v>0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1</v>
      </c>
      <c r="Q68" s="37">
        <v>0</v>
      </c>
      <c r="R68" s="37">
        <v>0</v>
      </c>
      <c r="S68" s="37">
        <v>0</v>
      </c>
      <c r="T68" s="37">
        <v>0</v>
      </c>
      <c r="V68" s="94">
        <v>0</v>
      </c>
      <c r="AL68" s="126">
        <v>16</v>
      </c>
      <c r="AM68" s="55">
        <v>0</v>
      </c>
      <c r="AO68" s="55">
        <f>0</f>
        <v>0</v>
      </c>
    </row>
    <row r="69" spans="2:41" ht="15" thickBot="1" x14ac:dyDescent="0.4">
      <c r="B69" s="97" t="s">
        <v>157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1</v>
      </c>
      <c r="S69" s="37">
        <v>0</v>
      </c>
      <c r="T69" s="37">
        <v>0</v>
      </c>
      <c r="V69" s="94">
        <v>0</v>
      </c>
      <c r="AL69" s="126">
        <v>17</v>
      </c>
      <c r="AM69" s="55">
        <v>50861.686494605499</v>
      </c>
      <c r="AO69" s="55">
        <f t="shared" si="2"/>
        <v>2.0493436453054925</v>
      </c>
    </row>
    <row r="70" spans="2:41" ht="15" thickBot="1" x14ac:dyDescent="0.4">
      <c r="B70" s="98" t="s">
        <v>144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11" t="e">
        <f>-(#REF!/#REF!)</f>
        <v>#REF!</v>
      </c>
      <c r="K70" s="37">
        <v>1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V70" s="47">
        <v>0</v>
      </c>
      <c r="AL70" s="126">
        <v>18</v>
      </c>
      <c r="AM70" s="203">
        <v>144846.74116689499</v>
      </c>
      <c r="AO70" s="203">
        <f t="shared" si="2"/>
        <v>2.6891895520620057</v>
      </c>
    </row>
    <row r="71" spans="2:41" x14ac:dyDescent="0.35">
      <c r="B71" s="151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109"/>
      <c r="N71" s="76"/>
      <c r="O71" s="76"/>
      <c r="P71" s="76"/>
      <c r="Q71" s="76"/>
      <c r="R71" s="76"/>
      <c r="S71" s="76"/>
      <c r="T71" s="76"/>
      <c r="U71" s="109"/>
      <c r="V71" s="76"/>
    </row>
    <row r="72" spans="2:41" x14ac:dyDescent="0.35"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</row>
    <row r="74" spans="2:41" ht="15" thickBot="1" x14ac:dyDescent="0.4"/>
    <row r="75" spans="2:41" x14ac:dyDescent="0.35">
      <c r="V75" s="22" t="s">
        <v>147</v>
      </c>
      <c r="W75" s="23"/>
    </row>
    <row r="76" spans="2:41" x14ac:dyDescent="0.35">
      <c r="V76" s="24" t="s">
        <v>139</v>
      </c>
      <c r="W76" s="25" t="s">
        <v>148</v>
      </c>
    </row>
    <row r="77" spans="2:41" x14ac:dyDescent="0.35">
      <c r="V77" s="24" t="s">
        <v>140</v>
      </c>
      <c r="W77" s="25" t="s">
        <v>149</v>
      </c>
    </row>
    <row r="78" spans="2:41" x14ac:dyDescent="0.35">
      <c r="V78" s="24" t="s">
        <v>141</v>
      </c>
      <c r="W78" s="25" t="s">
        <v>150</v>
      </c>
    </row>
    <row r="79" spans="2:41" x14ac:dyDescent="0.35">
      <c r="V79" s="24" t="s">
        <v>145</v>
      </c>
      <c r="W79" s="25" t="s">
        <v>151</v>
      </c>
    </row>
    <row r="80" spans="2:41" x14ac:dyDescent="0.35">
      <c r="V80" s="24" t="s">
        <v>146</v>
      </c>
      <c r="W80" s="25" t="s">
        <v>152</v>
      </c>
    </row>
    <row r="81" spans="1:23" x14ac:dyDescent="0.35">
      <c r="V81" s="24" t="s">
        <v>143</v>
      </c>
      <c r="W81" s="25" t="s">
        <v>155</v>
      </c>
    </row>
    <row r="82" spans="1:23" x14ac:dyDescent="0.35">
      <c r="V82" s="24" t="s">
        <v>156</v>
      </c>
      <c r="W82" s="25" t="s">
        <v>159</v>
      </c>
    </row>
    <row r="83" spans="1:23" x14ac:dyDescent="0.35">
      <c r="V83" s="24" t="s">
        <v>157</v>
      </c>
      <c r="W83" s="25" t="s">
        <v>158</v>
      </c>
    </row>
    <row r="84" spans="1:23" ht="15" thickBot="1" x14ac:dyDescent="0.4">
      <c r="V84" s="26" t="s">
        <v>144</v>
      </c>
      <c r="W84" s="27" t="s">
        <v>160</v>
      </c>
    </row>
    <row r="89" spans="1:23" ht="15" thickBot="1" x14ac:dyDescent="0.4"/>
    <row r="90" spans="1:23" ht="26.5" thickBot="1" x14ac:dyDescent="0.65">
      <c r="A90" s="125" t="s">
        <v>263</v>
      </c>
      <c r="B90" s="1"/>
      <c r="C90" s="2"/>
    </row>
    <row r="92" spans="1:23" ht="15" thickBot="1" x14ac:dyDescent="0.4"/>
    <row r="93" spans="1:23" x14ac:dyDescent="0.35">
      <c r="A93" s="22"/>
      <c r="B93" s="28"/>
      <c r="C93" s="28"/>
      <c r="D93" s="28"/>
      <c r="E93" s="23"/>
    </row>
    <row r="94" spans="1:23" x14ac:dyDescent="0.35">
      <c r="A94" s="24"/>
      <c r="B94" s="12"/>
      <c r="C94" s="12"/>
      <c r="D94" s="12"/>
      <c r="E94" s="25"/>
      <c r="G94" t="s">
        <v>303</v>
      </c>
    </row>
    <row r="95" spans="1:23" x14ac:dyDescent="0.35">
      <c r="A95" s="24"/>
      <c r="B95" s="12"/>
      <c r="C95" s="12"/>
      <c r="D95" s="12"/>
      <c r="E95" s="25"/>
    </row>
    <row r="96" spans="1:23" x14ac:dyDescent="0.35">
      <c r="A96" s="24"/>
      <c r="B96" s="12"/>
      <c r="C96" s="12"/>
      <c r="D96" s="12"/>
      <c r="E96" s="25"/>
    </row>
    <row r="97" spans="1:50" x14ac:dyDescent="0.35">
      <c r="A97" s="24"/>
      <c r="B97" s="12"/>
      <c r="C97" s="12"/>
      <c r="D97" s="12"/>
      <c r="E97" s="25"/>
    </row>
    <row r="98" spans="1:50" ht="15" thickBot="1" x14ac:dyDescent="0.4">
      <c r="A98" s="26"/>
      <c r="B98" s="29"/>
      <c r="C98" s="29"/>
      <c r="D98" s="29"/>
      <c r="E98" s="27"/>
    </row>
    <row r="99" spans="1:50" ht="15" thickBot="1" x14ac:dyDescent="0.4"/>
    <row r="100" spans="1:50" ht="34" thickBot="1" x14ac:dyDescent="0.8">
      <c r="AC100" s="171">
        <v>0.1</v>
      </c>
      <c r="AD100" s="171">
        <v>0.2</v>
      </c>
      <c r="AE100" s="171">
        <v>0.2</v>
      </c>
      <c r="AF100" s="184"/>
      <c r="AG100" s="99"/>
      <c r="AH100" s="99"/>
      <c r="AI100" s="99"/>
      <c r="AJ100" s="185" t="s">
        <v>378</v>
      </c>
      <c r="AK100" s="99"/>
      <c r="AL100" s="99"/>
      <c r="AM100" s="99"/>
      <c r="AN100" s="99"/>
      <c r="AO100" s="99"/>
      <c r="AP100" s="100"/>
    </row>
    <row r="101" spans="1:50" ht="15" thickBot="1" x14ac:dyDescent="0.4">
      <c r="AC101" s="172" t="s">
        <v>362</v>
      </c>
      <c r="AD101" s="172" t="s">
        <v>363</v>
      </c>
      <c r="AE101" s="172" t="s">
        <v>364</v>
      </c>
      <c r="AF101" s="187" t="s">
        <v>379</v>
      </c>
      <c r="AG101" s="188"/>
      <c r="AH101" s="191"/>
      <c r="AI101" s="192"/>
      <c r="AJ101" s="192" t="s">
        <v>380</v>
      </c>
      <c r="AK101" s="192"/>
      <c r="AL101" s="193"/>
      <c r="AM101" s="194"/>
      <c r="AN101" s="195" t="s">
        <v>381</v>
      </c>
      <c r="AO101" s="196"/>
      <c r="AP101" s="186"/>
    </row>
    <row r="102" spans="1:50" ht="21.5" thickBot="1" x14ac:dyDescent="0.55000000000000004">
      <c r="A102" s="156" t="s">
        <v>76</v>
      </c>
      <c r="V102" s="8" t="s">
        <v>113</v>
      </c>
      <c r="W102" s="164" t="s">
        <v>290</v>
      </c>
      <c r="X102" s="1"/>
      <c r="Y102" s="2"/>
      <c r="Z102" s="3" t="s">
        <v>358</v>
      </c>
      <c r="AA102" s="3" t="s">
        <v>361</v>
      </c>
      <c r="AC102" s="3" t="s">
        <v>365</v>
      </c>
      <c r="AD102" s="3" t="s">
        <v>366</v>
      </c>
      <c r="AE102" s="134" t="s">
        <v>367</v>
      </c>
      <c r="AF102" s="189" t="s">
        <v>368</v>
      </c>
      <c r="AG102" s="187" t="s">
        <v>369</v>
      </c>
      <c r="AH102" s="176" t="s">
        <v>370</v>
      </c>
      <c r="AI102" s="176" t="s">
        <v>371</v>
      </c>
      <c r="AJ102" s="176" t="s">
        <v>372</v>
      </c>
      <c r="AK102" s="177" t="s">
        <v>373</v>
      </c>
      <c r="AL102" s="177" t="s">
        <v>374</v>
      </c>
      <c r="AM102" s="175" t="s">
        <v>375</v>
      </c>
      <c r="AN102" s="175" t="s">
        <v>376</v>
      </c>
      <c r="AO102" s="175" t="s">
        <v>377</v>
      </c>
      <c r="AP102" s="178" t="s">
        <v>378</v>
      </c>
      <c r="AQ102" s="173" t="s">
        <v>383</v>
      </c>
      <c r="AR102" s="198" t="s">
        <v>382</v>
      </c>
      <c r="AS102" s="8" t="s">
        <v>385</v>
      </c>
      <c r="AT102" s="1"/>
      <c r="AU102" s="2"/>
      <c r="AV102" s="8" t="s">
        <v>386</v>
      </c>
      <c r="AW102" s="2"/>
      <c r="AX102" s="202" t="s">
        <v>387</v>
      </c>
    </row>
    <row r="103" spans="1:50" ht="15" thickBot="1" x14ac:dyDescent="0.4">
      <c r="A103" s="54" t="s">
        <v>272</v>
      </c>
      <c r="H103" s="54" t="s">
        <v>280</v>
      </c>
      <c r="M103" s="54" t="s">
        <v>286</v>
      </c>
      <c r="V103" s="54" t="s">
        <v>101</v>
      </c>
      <c r="W103" s="22">
        <f>C114*L108*N105</f>
        <v>6572921.5496220645</v>
      </c>
      <c r="X103" s="28"/>
      <c r="Y103" s="23"/>
      <c r="Z103" s="3">
        <v>394</v>
      </c>
      <c r="AA103" s="8">
        <v>607.5</v>
      </c>
      <c r="AB103" s="3" t="s">
        <v>359</v>
      </c>
      <c r="AC103" s="54">
        <f t="shared" ref="AC103:AC112" si="3">AB104+$AC$100*AB104</f>
        <v>11148108.694251128</v>
      </c>
      <c r="AD103" s="54">
        <f>AC103+$AD$100*AC103</f>
        <v>13377730.433101352</v>
      </c>
      <c r="AE103" s="139">
        <f>AD103+$AE$100*AD103</f>
        <v>16053276.519721624</v>
      </c>
      <c r="AF103" s="190">
        <v>0.5</v>
      </c>
      <c r="AG103" s="190">
        <v>0.5</v>
      </c>
      <c r="AH103" s="179">
        <v>2.2499999999999999E-2</v>
      </c>
      <c r="AI103" s="179">
        <v>8.2500000000000004E-2</v>
      </c>
      <c r="AJ103" s="174">
        <v>0</v>
      </c>
      <c r="AK103" s="174">
        <v>1</v>
      </c>
      <c r="AL103" s="180">
        <f>AH103+AJ103+AK103*(AI103-AH103)</f>
        <v>8.2500000000000004E-2</v>
      </c>
      <c r="AM103" s="181">
        <v>8.0000000000000002E-3</v>
      </c>
      <c r="AN103" s="182">
        <v>0.01</v>
      </c>
      <c r="AO103" s="183">
        <f>AM103+AN103</f>
        <v>1.8000000000000002E-2</v>
      </c>
      <c r="AP103" s="197">
        <f>AL103*(AF103)/(AF103+AG103)+AO103*(AG103)/(AF103+AG103)</f>
        <v>5.0250000000000003E-2</v>
      </c>
      <c r="AQ103" s="3">
        <v>35</v>
      </c>
      <c r="AR103" s="60">
        <f>AE103*($AP$103*(1+$AP$103)^$AQ$103)/((1+$AP$103)^$AQ$103-1)</f>
        <v>983495.93394034787</v>
      </c>
      <c r="AS103" s="8"/>
      <c r="AT103" s="201">
        <v>0.6</v>
      </c>
      <c r="AU103" s="2"/>
      <c r="AV103" s="8"/>
      <c r="AW103" s="1">
        <v>8760</v>
      </c>
      <c r="AX103" s="60">
        <f>AR103/($AT$103*$AW$103)/3600</f>
        <v>5.1977419136877846E-2</v>
      </c>
    </row>
    <row r="104" spans="1:50" ht="15" thickBot="1" x14ac:dyDescent="0.4">
      <c r="A104" s="22" t="s">
        <v>268</v>
      </c>
      <c r="B104" s="28" t="s">
        <v>264</v>
      </c>
      <c r="C104" s="28"/>
      <c r="D104" s="28"/>
      <c r="E104" s="28"/>
      <c r="F104" s="28"/>
      <c r="G104" s="23"/>
      <c r="H104" s="22" t="s">
        <v>281</v>
      </c>
      <c r="I104" s="28">
        <v>0</v>
      </c>
      <c r="J104" s="28"/>
      <c r="K104" s="28"/>
      <c r="L104" s="23"/>
      <c r="M104" s="22" t="s">
        <v>288</v>
      </c>
      <c r="N104" s="28"/>
      <c r="O104" s="28"/>
      <c r="P104" s="28"/>
      <c r="Q104" s="23"/>
      <c r="V104" s="62" t="s">
        <v>78</v>
      </c>
      <c r="W104" s="24">
        <f>B136*L122*N119</f>
        <v>314751.81503517285</v>
      </c>
      <c r="X104" s="157" t="s">
        <v>305</v>
      </c>
      <c r="Y104" s="25">
        <f>E136*L122*N119</f>
        <v>566229.17535979266</v>
      </c>
      <c r="Z104" s="22"/>
      <c r="AA104" s="28"/>
      <c r="AB104" s="54">
        <f t="shared" ref="AB104:AB113" si="4">W103*($AA$103/$Z$103)</f>
        <v>10134644.267501025</v>
      </c>
      <c r="AC104" s="62">
        <f t="shared" si="3"/>
        <v>533839.84872399562</v>
      </c>
      <c r="AD104" s="62">
        <f t="shared" ref="AD104:AD112" si="5">AC104+$AD$100*AC104</f>
        <v>640607.81846879469</v>
      </c>
      <c r="AE104" s="140">
        <f t="shared" ref="AE104:AE112" si="6">AD104+$AE$100*AD104</f>
        <v>768729.38216255361</v>
      </c>
      <c r="AF104" t="s">
        <v>414</v>
      </c>
      <c r="AR104" s="199">
        <f t="shared" ref="AR104:AR114" si="7">AE104*($AP$103*(1+$AP$103)^$AQ$103)/((1+$AP$103)^$AQ$103-1)</f>
        <v>47095.820017087557</v>
      </c>
      <c r="AX104" s="60">
        <f t="shared" ref="AX104:AX112" si="8">AR104/($AT$103*$AW$103)/3600</f>
        <v>2.4889977600777709E-3</v>
      </c>
    </row>
    <row r="105" spans="1:50" ht="15" thickBot="1" x14ac:dyDescent="0.4">
      <c r="A105" s="24" t="s">
        <v>269</v>
      </c>
      <c r="B105" s="12">
        <v>2.2896999999999998</v>
      </c>
      <c r="C105" s="12"/>
      <c r="D105" s="12"/>
      <c r="E105" s="12"/>
      <c r="F105" s="12"/>
      <c r="G105" s="25"/>
      <c r="H105" s="24" t="s">
        <v>282</v>
      </c>
      <c r="I105" s="12">
        <v>0</v>
      </c>
      <c r="J105" s="12"/>
      <c r="K105" s="12"/>
      <c r="L105" s="25"/>
      <c r="M105" s="24" t="s">
        <v>289</v>
      </c>
      <c r="N105" s="142">
        <v>2.7</v>
      </c>
      <c r="O105" s="12"/>
      <c r="P105" s="12"/>
      <c r="Q105" s="25"/>
      <c r="V105" s="62" t="s">
        <v>77</v>
      </c>
      <c r="W105" s="24">
        <f>B150*L144*N141</f>
        <v>6670083.3898063824</v>
      </c>
      <c r="X105" s="12"/>
      <c r="Y105" s="25"/>
      <c r="Z105" s="24"/>
      <c r="AA105" s="12"/>
      <c r="AB105" s="62">
        <f t="shared" si="4"/>
        <v>485308.95338545053</v>
      </c>
      <c r="AC105" s="62">
        <f t="shared" si="3"/>
        <v>11312901.586898768</v>
      </c>
      <c r="AD105" s="62">
        <f t="shared" si="5"/>
        <v>13575481.904278522</v>
      </c>
      <c r="AE105" s="140">
        <f t="shared" si="6"/>
        <v>16290578.285134226</v>
      </c>
      <c r="AR105" s="199">
        <f t="shared" si="7"/>
        <v>998034.10757197032</v>
      </c>
      <c r="AX105" s="60">
        <f t="shared" si="8"/>
        <v>5.2745756573015508E-2</v>
      </c>
    </row>
    <row r="106" spans="1:50" ht="15" thickBot="1" x14ac:dyDescent="0.4">
      <c r="A106" s="24" t="s">
        <v>270</v>
      </c>
      <c r="B106" s="12">
        <v>1.3604000000000001</v>
      </c>
      <c r="C106" s="12"/>
      <c r="D106" s="12"/>
      <c r="E106" s="12"/>
      <c r="F106" s="12"/>
      <c r="G106" s="25"/>
      <c r="H106" s="24" t="s">
        <v>283</v>
      </c>
      <c r="I106" s="12">
        <v>0</v>
      </c>
      <c r="J106" s="12"/>
      <c r="K106" s="12"/>
      <c r="L106" s="25"/>
      <c r="M106" s="24"/>
      <c r="N106" s="12"/>
      <c r="O106" s="12"/>
      <c r="P106" s="12"/>
      <c r="Q106" s="25"/>
      <c r="V106" s="62" t="s">
        <v>102</v>
      </c>
      <c r="W106" s="24">
        <f>B172*L158*N155</f>
        <v>371593.60398456536</v>
      </c>
      <c r="X106" s="157" t="s">
        <v>305</v>
      </c>
      <c r="Y106" s="25">
        <f>E172*L158*N155</f>
        <v>543325.8619195011</v>
      </c>
      <c r="Z106" s="24"/>
      <c r="AA106" s="12"/>
      <c r="AB106" s="62">
        <f t="shared" si="4"/>
        <v>10284455.988089789</v>
      </c>
      <c r="AC106" s="62">
        <f t="shared" si="3"/>
        <v>630247.27376316185</v>
      </c>
      <c r="AD106" s="62">
        <f t="shared" si="5"/>
        <v>756296.72851579427</v>
      </c>
      <c r="AE106" s="140">
        <f t="shared" si="6"/>
        <v>907556.07421895314</v>
      </c>
      <c r="AR106" s="199">
        <f t="shared" si="7"/>
        <v>55600.967672902392</v>
      </c>
      <c r="AX106" s="60">
        <f t="shared" si="8"/>
        <v>2.9384918650062573E-3</v>
      </c>
    </row>
    <row r="107" spans="1:50" ht="15" thickBot="1" x14ac:dyDescent="0.4">
      <c r="A107" s="24" t="s">
        <v>271</v>
      </c>
      <c r="B107" s="12">
        <v>-0.1027</v>
      </c>
      <c r="C107" s="12"/>
      <c r="D107" s="12"/>
      <c r="E107" s="12"/>
      <c r="F107" s="12"/>
      <c r="G107" s="25"/>
      <c r="H107" s="24" t="s">
        <v>284</v>
      </c>
      <c r="I107" s="12"/>
      <c r="J107" s="12"/>
      <c r="K107" s="12"/>
      <c r="L107" s="25"/>
      <c r="M107" s="24"/>
      <c r="N107" s="12"/>
      <c r="O107" s="12"/>
      <c r="P107" s="12"/>
      <c r="Q107" s="25"/>
      <c r="V107" s="62" t="s">
        <v>312</v>
      </c>
      <c r="W107" s="24">
        <f>B178</f>
        <v>4720867.5000000009</v>
      </c>
      <c r="X107" s="12"/>
      <c r="Y107" s="25"/>
      <c r="Z107" s="24"/>
      <c r="AA107" s="12"/>
      <c r="AB107" s="62">
        <f t="shared" si="4"/>
        <v>572952.06705741992</v>
      </c>
      <c r="AC107" s="62">
        <f t="shared" si="3"/>
        <v>8006902.8093274124</v>
      </c>
      <c r="AD107" s="62">
        <f t="shared" si="5"/>
        <v>9608283.3711928949</v>
      </c>
      <c r="AE107" s="140">
        <f t="shared" si="6"/>
        <v>11529940.045431474</v>
      </c>
      <c r="AR107" s="199">
        <f t="shared" si="7"/>
        <v>706375.99366876681</v>
      </c>
      <c r="AX107" s="60">
        <f t="shared" si="8"/>
        <v>3.7331726369269347E-2</v>
      </c>
    </row>
    <row r="108" spans="1:50" ht="15" thickBot="1" x14ac:dyDescent="0.4">
      <c r="A108" s="24" t="s">
        <v>273</v>
      </c>
      <c r="B108" s="12" t="s">
        <v>265</v>
      </c>
      <c r="C108" s="12"/>
      <c r="D108" s="12" t="s">
        <v>266</v>
      </c>
      <c r="E108" s="157">
        <v>450</v>
      </c>
      <c r="F108" s="12" t="s">
        <v>267</v>
      </c>
      <c r="G108" s="153">
        <v>3000</v>
      </c>
      <c r="H108" s="24" t="s">
        <v>285</v>
      </c>
      <c r="I108" s="12"/>
      <c r="J108" s="12"/>
      <c r="K108" s="12"/>
      <c r="L108" s="158">
        <v>1</v>
      </c>
      <c r="M108" s="24"/>
      <c r="N108" s="12"/>
      <c r="O108" s="12"/>
      <c r="P108" s="12"/>
      <c r="Q108" s="25"/>
      <c r="V108" s="62" t="s">
        <v>36</v>
      </c>
      <c r="W108" s="24">
        <f>B181</f>
        <v>300000</v>
      </c>
      <c r="X108" s="12"/>
      <c r="Y108" s="25"/>
      <c r="Z108" s="26"/>
      <c r="AA108" s="29"/>
      <c r="AB108" s="62">
        <f t="shared" si="4"/>
        <v>7279002.5539340116</v>
      </c>
      <c r="AC108" s="62">
        <f t="shared" si="3"/>
        <v>508819.79695431469</v>
      </c>
      <c r="AD108" s="62">
        <f t="shared" si="5"/>
        <v>610583.75634517765</v>
      </c>
      <c r="AE108" s="140">
        <f t="shared" si="6"/>
        <v>732700.50761421316</v>
      </c>
      <c r="AR108" s="199">
        <f t="shared" si="7"/>
        <v>44888.529089331576</v>
      </c>
      <c r="AX108" s="60">
        <f t="shared" si="8"/>
        <v>2.3723431997997829E-3</v>
      </c>
    </row>
    <row r="109" spans="1:50" ht="15" thickBot="1" x14ac:dyDescent="0.4">
      <c r="A109" s="24"/>
      <c r="B109" s="12"/>
      <c r="C109" s="12"/>
      <c r="D109" s="12"/>
      <c r="E109" s="12"/>
      <c r="F109" s="12"/>
      <c r="G109" s="25"/>
      <c r="H109" s="24"/>
      <c r="I109" s="12"/>
      <c r="J109" s="12"/>
      <c r="K109" s="12"/>
      <c r="L109" s="25"/>
      <c r="M109" s="24"/>
      <c r="N109" s="12"/>
      <c r="O109" s="12"/>
      <c r="P109" s="12"/>
      <c r="Q109" s="25"/>
      <c r="V109" s="62" t="s">
        <v>63</v>
      </c>
      <c r="W109" s="24">
        <f>B218*(R201+S201*I209*N202)</f>
        <v>387580.84390725865</v>
      </c>
      <c r="X109" s="12"/>
      <c r="Y109" s="25"/>
      <c r="AB109" s="62">
        <f t="shared" si="4"/>
        <v>462563.45177664974</v>
      </c>
      <c r="AC109" s="62">
        <f t="shared" si="3"/>
        <v>657362.68766757753</v>
      </c>
      <c r="AD109" s="62">
        <f t="shared" si="5"/>
        <v>788835.22520109301</v>
      </c>
      <c r="AE109" s="140">
        <f t="shared" si="6"/>
        <v>946602.27024131163</v>
      </c>
      <c r="AR109" s="199">
        <f t="shared" si="7"/>
        <v>57993.113287328859</v>
      </c>
      <c r="AX109" s="60">
        <f t="shared" si="8"/>
        <v>3.0649159313868202E-3</v>
      </c>
    </row>
    <row r="110" spans="1:50" ht="15" thickBot="1" x14ac:dyDescent="0.4">
      <c r="A110" s="24" t="s">
        <v>276</v>
      </c>
      <c r="B110" s="12"/>
      <c r="C110" s="12"/>
      <c r="D110" s="12">
        <f>10^(B105+B106*LOG10(G108)+B107*(LOG10(G108))^2)</f>
        <v>600197.97789300827</v>
      </c>
      <c r="E110" s="12"/>
      <c r="F110" s="12"/>
      <c r="G110" s="25"/>
      <c r="H110" s="24"/>
      <c r="I110" s="12"/>
      <c r="J110" s="12"/>
      <c r="K110" s="12"/>
      <c r="L110" s="25"/>
      <c r="M110" s="24"/>
      <c r="N110" s="12"/>
      <c r="O110" s="12"/>
      <c r="P110" s="12"/>
      <c r="Q110" s="25"/>
      <c r="V110" s="62" t="s">
        <v>37</v>
      </c>
      <c r="W110" s="24">
        <f>B197*L191*N190</f>
        <v>10069941.90093735</v>
      </c>
      <c r="X110" s="12"/>
      <c r="Y110" s="25"/>
      <c r="AB110" s="62">
        <f t="shared" si="4"/>
        <v>597602.44333416142</v>
      </c>
      <c r="AC110" s="62">
        <f t="shared" si="3"/>
        <v>17079285.977922294</v>
      </c>
      <c r="AD110" s="62">
        <f t="shared" si="5"/>
        <v>20495143.173506752</v>
      </c>
      <c r="AE110" s="140">
        <f t="shared" si="6"/>
        <v>24594171.8082081</v>
      </c>
      <c r="AR110" s="199">
        <f t="shared" si="7"/>
        <v>1506749.5998270167</v>
      </c>
      <c r="AX110" s="60">
        <f t="shared" si="8"/>
        <v>7.9631193970225389E-2</v>
      </c>
    </row>
    <row r="111" spans="1:50" ht="15" thickBot="1" x14ac:dyDescent="0.4">
      <c r="A111" s="24" t="s">
        <v>274</v>
      </c>
      <c r="B111" s="12"/>
      <c r="C111" s="12"/>
      <c r="D111" s="12"/>
      <c r="E111" s="12"/>
      <c r="F111" s="12"/>
      <c r="G111" s="25"/>
      <c r="H111" s="24"/>
      <c r="I111" s="12"/>
      <c r="J111" s="12"/>
      <c r="K111" s="12"/>
      <c r="L111" s="25"/>
      <c r="M111" s="24"/>
      <c r="N111" s="12"/>
      <c r="O111" s="12"/>
      <c r="P111" s="12"/>
      <c r="Q111" s="25"/>
      <c r="V111" s="62" t="s">
        <v>65</v>
      </c>
      <c r="W111" s="24">
        <f>B254*(R237+S237*I245*N238)</f>
        <v>580639.97514483344</v>
      </c>
      <c r="X111" s="12"/>
      <c r="Y111" s="25"/>
      <c r="AB111" s="62">
        <f t="shared" si="4"/>
        <v>15526623.616292994</v>
      </c>
      <c r="AC111" s="62">
        <f t="shared" si="3"/>
        <v>984803.71418917493</v>
      </c>
      <c r="AD111" s="62">
        <f t="shared" si="5"/>
        <v>1181764.4570270099</v>
      </c>
      <c r="AE111" s="140">
        <f t="shared" si="6"/>
        <v>1418117.3484324119</v>
      </c>
      <c r="AR111" s="199">
        <f t="shared" si="7"/>
        <v>86880.248049058719</v>
      </c>
      <c r="AX111" s="60">
        <f t="shared" si="8"/>
        <v>4.5915909885558687E-3</v>
      </c>
    </row>
    <row r="112" spans="1:50" ht="15" thickBot="1" x14ac:dyDescent="0.4">
      <c r="A112" s="24" t="s">
        <v>278</v>
      </c>
      <c r="B112" s="12">
        <v>0.6</v>
      </c>
      <c r="C112" s="12" t="s">
        <v>275</v>
      </c>
      <c r="D112" s="12"/>
      <c r="E112" s="12"/>
      <c r="F112" s="12"/>
      <c r="G112" s="25"/>
      <c r="H112" s="24"/>
      <c r="I112" s="12"/>
      <c r="J112" s="12"/>
      <c r="K112" s="12"/>
      <c r="L112" s="25"/>
      <c r="M112" s="24"/>
      <c r="N112" s="12"/>
      <c r="O112" s="12"/>
      <c r="P112" s="12"/>
      <c r="Q112" s="25"/>
      <c r="V112" s="59" t="s">
        <v>356</v>
      </c>
      <c r="W112" s="26">
        <f>B232*L226*N225</f>
        <v>16030009.236593543</v>
      </c>
      <c r="X112" s="29"/>
      <c r="Y112" s="27"/>
      <c r="AB112" s="62">
        <f t="shared" si="4"/>
        <v>895276.10380834085</v>
      </c>
      <c r="AC112" s="59">
        <f t="shared" si="3"/>
        <v>27187953.483131051</v>
      </c>
      <c r="AD112" s="59">
        <f t="shared" si="5"/>
        <v>32625544.17975726</v>
      </c>
      <c r="AE112" s="141">
        <f t="shared" si="6"/>
        <v>39150653.015708715</v>
      </c>
      <c r="AR112" s="200">
        <f t="shared" si="7"/>
        <v>2398545.1197302765</v>
      </c>
      <c r="AX112" s="60">
        <f t="shared" si="8"/>
        <v>0.12676227801720133</v>
      </c>
    </row>
    <row r="113" spans="1:44" ht="15" thickBot="1" x14ac:dyDescent="0.4">
      <c r="A113" s="24" t="s">
        <v>279</v>
      </c>
      <c r="B113" s="12">
        <f>ABS(task2!C56)</f>
        <v>30947.210999999999</v>
      </c>
      <c r="C113" s="12"/>
      <c r="D113" s="12"/>
      <c r="E113" s="12"/>
      <c r="F113" s="12"/>
      <c r="G113" s="25"/>
      <c r="H113" s="24"/>
      <c r="I113" s="12"/>
      <c r="J113" s="12"/>
      <c r="K113" s="12"/>
      <c r="L113" s="25"/>
      <c r="M113" s="24"/>
      <c r="N113" s="12"/>
      <c r="O113" s="12"/>
      <c r="P113" s="12"/>
      <c r="Q113" s="25"/>
      <c r="AB113" s="59">
        <f t="shared" si="4"/>
        <v>24716321.348300956</v>
      </c>
      <c r="AR113" s="238"/>
    </row>
    <row r="114" spans="1:44" ht="15" thickBot="1" x14ac:dyDescent="0.4">
      <c r="A114" s="24" t="s">
        <v>277</v>
      </c>
      <c r="B114" s="12"/>
      <c r="C114" s="142">
        <f>D110*(B113/G108)^B112</f>
        <v>2434415.3887489126</v>
      </c>
      <c r="D114" t="s">
        <v>287</v>
      </c>
      <c r="E114" s="12"/>
      <c r="F114" s="12"/>
      <c r="G114" s="25"/>
      <c r="H114" s="24"/>
      <c r="I114" s="12"/>
      <c r="J114" s="12"/>
      <c r="K114" s="12"/>
      <c r="L114" s="25"/>
      <c r="M114" s="24"/>
      <c r="N114" s="12"/>
      <c r="O114" s="12"/>
      <c r="P114" s="12"/>
      <c r="Q114" s="25"/>
      <c r="Z114" t="s">
        <v>360</v>
      </c>
      <c r="AE114" s="142">
        <f>SUM(AE103:AE112)</f>
        <v>112392325.25687356</v>
      </c>
      <c r="AF114" t="s">
        <v>443</v>
      </c>
      <c r="AQ114" t="s">
        <v>442</v>
      </c>
      <c r="AR114" s="200">
        <f t="shared" si="7"/>
        <v>6885659.4328540862</v>
      </c>
    </row>
    <row r="115" spans="1:44" ht="15" thickBot="1" x14ac:dyDescent="0.4">
      <c r="A115" s="26"/>
      <c r="B115" s="29"/>
      <c r="C115" s="29"/>
      <c r="D115" s="29"/>
      <c r="E115" s="29"/>
      <c r="F115" s="29"/>
      <c r="G115" s="27"/>
      <c r="H115" s="26"/>
      <c r="I115" s="29"/>
      <c r="J115" s="29"/>
      <c r="K115" s="29"/>
      <c r="L115" s="27"/>
      <c r="M115" s="26"/>
      <c r="N115" s="29"/>
      <c r="O115" s="29"/>
      <c r="P115" s="29"/>
      <c r="Q115" s="27"/>
    </row>
    <row r="116" spans="1:44" ht="21.5" thickBot="1" x14ac:dyDescent="0.55000000000000004">
      <c r="A116" s="159" t="s">
        <v>78</v>
      </c>
      <c r="B116" s="2"/>
    </row>
    <row r="117" spans="1:44" ht="15" thickBot="1" x14ac:dyDescent="0.4">
      <c r="A117" s="132" t="s">
        <v>272</v>
      </c>
      <c r="B117" s="12"/>
      <c r="C117" s="12"/>
      <c r="D117" s="12"/>
      <c r="E117" s="12"/>
      <c r="F117" s="12"/>
      <c r="G117" s="12"/>
      <c r="H117" s="54" t="s">
        <v>280</v>
      </c>
      <c r="M117" s="54" t="s">
        <v>286</v>
      </c>
    </row>
    <row r="118" spans="1:44" x14ac:dyDescent="0.35">
      <c r="A118" s="22" t="s">
        <v>268</v>
      </c>
      <c r="B118" s="28" t="s">
        <v>291</v>
      </c>
      <c r="C118" s="28"/>
      <c r="D118" s="28"/>
      <c r="E118" s="28"/>
      <c r="F118" s="28"/>
      <c r="G118" s="23"/>
      <c r="H118" s="22" t="s">
        <v>281</v>
      </c>
      <c r="I118" s="28">
        <v>3.8809999999999997E-2</v>
      </c>
      <c r="J118" s="28"/>
      <c r="K118" s="28"/>
      <c r="L118" s="23"/>
      <c r="M118" s="22" t="s">
        <v>306</v>
      </c>
      <c r="N118" s="28"/>
      <c r="O118" s="28"/>
      <c r="P118" s="28"/>
      <c r="Q118" s="23"/>
    </row>
    <row r="119" spans="1:44" x14ac:dyDescent="0.35">
      <c r="A119" s="24" t="s">
        <v>269</v>
      </c>
      <c r="B119" s="12">
        <v>4.8305999999999996</v>
      </c>
      <c r="C119" s="12"/>
      <c r="D119" s="12"/>
      <c r="E119" s="12"/>
      <c r="F119" s="12"/>
      <c r="G119" s="25"/>
      <c r="H119" s="24" t="s">
        <v>282</v>
      </c>
      <c r="I119" s="12">
        <v>-0.11272</v>
      </c>
      <c r="J119" s="12"/>
      <c r="K119" s="12"/>
      <c r="L119" s="25"/>
      <c r="M119" s="24" t="s">
        <v>289</v>
      </c>
      <c r="N119" s="142">
        <v>1</v>
      </c>
      <c r="O119" s="12"/>
      <c r="P119" s="12"/>
      <c r="Q119" s="25"/>
    </row>
    <row r="120" spans="1:44" x14ac:dyDescent="0.35">
      <c r="A120" s="24" t="s">
        <v>270</v>
      </c>
      <c r="B120" s="12">
        <v>-0.85089999999999999</v>
      </c>
      <c r="C120" s="12"/>
      <c r="D120" s="12"/>
      <c r="E120" s="12"/>
      <c r="F120" s="12"/>
      <c r="G120" s="25"/>
      <c r="H120" s="24" t="s">
        <v>283</v>
      </c>
      <c r="I120" s="12">
        <v>8.183E-2</v>
      </c>
      <c r="J120" s="12"/>
      <c r="K120" s="12"/>
      <c r="L120" s="25"/>
      <c r="M120" s="24"/>
      <c r="N120" s="12"/>
      <c r="O120" s="12"/>
      <c r="P120" s="12"/>
      <c r="Q120" s="25"/>
    </row>
    <row r="121" spans="1:44" x14ac:dyDescent="0.35">
      <c r="A121" s="24" t="s">
        <v>271</v>
      </c>
      <c r="B121" s="12">
        <v>0.31869999999999998</v>
      </c>
      <c r="C121" s="12"/>
      <c r="D121" s="12"/>
      <c r="E121" s="12"/>
      <c r="F121" s="12"/>
      <c r="G121" s="25"/>
      <c r="H121" s="24" t="s">
        <v>311</v>
      </c>
      <c r="I121" s="12">
        <f>task1!D25</f>
        <v>8.5</v>
      </c>
      <c r="J121" s="12"/>
      <c r="K121" s="12"/>
      <c r="L121" s="25"/>
      <c r="M121" s="24"/>
      <c r="N121" s="12"/>
      <c r="O121" s="12"/>
      <c r="P121" s="12"/>
      <c r="Q121" s="25"/>
    </row>
    <row r="122" spans="1:44" x14ac:dyDescent="0.35">
      <c r="A122" s="24" t="s">
        <v>273</v>
      </c>
      <c r="B122" s="12" t="s">
        <v>292</v>
      </c>
      <c r="C122" s="12"/>
      <c r="D122" s="12" t="s">
        <v>266</v>
      </c>
      <c r="E122" s="157">
        <v>10</v>
      </c>
      <c r="F122" s="12" t="s">
        <v>267</v>
      </c>
      <c r="G122" s="153">
        <v>1000</v>
      </c>
      <c r="H122" s="24" t="s">
        <v>285</v>
      </c>
      <c r="I122" s="12"/>
      <c r="J122" s="12"/>
      <c r="K122" s="12"/>
      <c r="L122" s="158">
        <f>10^(I118+I119*LOG10(I121)+I120*(LOG10(I121))^2)</f>
        <v>1.0109559941218302</v>
      </c>
      <c r="M122" s="24"/>
      <c r="N122" s="12"/>
      <c r="O122" s="12"/>
      <c r="P122" s="12"/>
      <c r="Q122" s="25"/>
    </row>
    <row r="123" spans="1:44" x14ac:dyDescent="0.35">
      <c r="A123" s="24"/>
      <c r="B123" s="12"/>
      <c r="C123" s="12"/>
      <c r="D123" s="12"/>
      <c r="E123" s="12"/>
      <c r="F123" s="12"/>
      <c r="G123" s="25"/>
      <c r="H123" s="24"/>
      <c r="I123" s="12"/>
      <c r="J123" s="12"/>
      <c r="K123" s="12"/>
      <c r="L123" s="25"/>
      <c r="M123" s="24"/>
      <c r="N123" s="12"/>
      <c r="O123" s="12"/>
      <c r="P123" s="12"/>
      <c r="Q123" s="25"/>
    </row>
    <row r="124" spans="1:44" x14ac:dyDescent="0.35">
      <c r="A124" s="24" t="s">
        <v>276</v>
      </c>
      <c r="B124" s="12"/>
      <c r="C124" s="12"/>
      <c r="D124" s="12">
        <f>10^(B119+B120*LOG10(G122)+B121*(LOG10(G122))^2)</f>
        <v>140023.20047858494</v>
      </c>
      <c r="E124" s="12"/>
      <c r="F124" s="12"/>
      <c r="G124" s="25"/>
      <c r="H124" s="24"/>
      <c r="I124" s="12"/>
      <c r="J124" s="12"/>
      <c r="K124" s="12"/>
      <c r="L124" s="25"/>
      <c r="M124" s="24"/>
      <c r="N124" s="12"/>
      <c r="O124" s="12"/>
      <c r="P124" s="12"/>
      <c r="Q124" s="25"/>
    </row>
    <row r="125" spans="1:44" x14ac:dyDescent="0.35">
      <c r="A125" s="24"/>
      <c r="B125" s="12"/>
      <c r="C125" s="12"/>
      <c r="D125" s="12"/>
      <c r="E125" s="12"/>
      <c r="F125" s="12"/>
      <c r="G125" s="25"/>
      <c r="H125" s="24"/>
      <c r="I125" s="12"/>
      <c r="J125" s="12"/>
      <c r="K125" s="12"/>
      <c r="L125" s="25"/>
      <c r="M125" s="24"/>
      <c r="N125" s="12"/>
      <c r="O125" s="12"/>
      <c r="P125" s="12"/>
      <c r="Q125" s="25"/>
    </row>
    <row r="126" spans="1:44" x14ac:dyDescent="0.35">
      <c r="A126" s="24" t="s">
        <v>293</v>
      </c>
      <c r="B126" s="12" t="s">
        <v>294</v>
      </c>
      <c r="C126" s="12"/>
      <c r="D126" s="160" t="s">
        <v>299</v>
      </c>
      <c r="E126" s="12">
        <v>0.1</v>
      </c>
      <c r="F126" s="12"/>
      <c r="G126" s="25"/>
      <c r="H126" s="24"/>
      <c r="I126" s="12"/>
      <c r="J126" s="12"/>
      <c r="K126" s="12"/>
      <c r="L126" s="25"/>
      <c r="M126" s="24"/>
      <c r="N126" s="12"/>
      <c r="O126" s="12"/>
      <c r="P126" s="12"/>
      <c r="Q126" s="25"/>
    </row>
    <row r="127" spans="1:44" x14ac:dyDescent="0.35">
      <c r="A127" s="24" t="s">
        <v>297</v>
      </c>
      <c r="B127" s="161">
        <v>288.14999999999998</v>
      </c>
      <c r="C127" s="12"/>
      <c r="D127" s="160" t="s">
        <v>301</v>
      </c>
      <c r="E127" s="12">
        <v>4.1859999999999999</v>
      </c>
      <c r="F127" s="12"/>
      <c r="G127" s="25"/>
      <c r="H127" s="24"/>
      <c r="I127" s="12"/>
      <c r="J127" s="12"/>
      <c r="K127" s="12"/>
      <c r="L127" s="25"/>
      <c r="M127" s="24"/>
      <c r="N127" s="12"/>
      <c r="O127" s="12"/>
      <c r="P127" s="12"/>
      <c r="Q127" s="25"/>
    </row>
    <row r="128" spans="1:44" x14ac:dyDescent="0.35">
      <c r="A128" s="24" t="s">
        <v>295</v>
      </c>
      <c r="B128" s="12">
        <v>138.88999999999999</v>
      </c>
      <c r="C128" s="12"/>
      <c r="D128" s="160" t="s">
        <v>300</v>
      </c>
      <c r="E128" s="12">
        <f>B129/(B128*E127)+B127</f>
        <v>339.74386187882305</v>
      </c>
      <c r="F128" s="12"/>
      <c r="G128" s="25"/>
      <c r="H128" s="24"/>
      <c r="I128" s="12"/>
      <c r="J128" s="12"/>
      <c r="K128" s="12"/>
      <c r="L128" s="25"/>
      <c r="M128" s="24"/>
      <c r="N128" s="12"/>
      <c r="O128" s="12"/>
      <c r="P128" s="12"/>
      <c r="Q128" s="25"/>
    </row>
    <row r="129" spans="1:17" x14ac:dyDescent="0.35">
      <c r="A129" s="162" t="s">
        <v>296</v>
      </c>
      <c r="B129" s="12">
        <f>ABS(task2!D56)</f>
        <v>29996.338</v>
      </c>
      <c r="C129" s="12"/>
      <c r="D129" s="160" t="s">
        <v>302</v>
      </c>
      <c r="E129" s="12">
        <f>((B131-B127)-(B130-E128))/LN((B131-B127)/(B130-E128))</f>
        <v>79.190834466844862</v>
      </c>
      <c r="F129" s="12"/>
      <c r="G129" s="25"/>
      <c r="H129" s="24"/>
      <c r="I129" s="12"/>
      <c r="J129" s="12"/>
      <c r="K129" s="12"/>
      <c r="L129" s="25"/>
      <c r="M129" s="24"/>
      <c r="N129" s="12"/>
      <c r="O129" s="12"/>
      <c r="P129" s="12"/>
      <c r="Q129" s="25"/>
    </row>
    <row r="130" spans="1:17" x14ac:dyDescent="0.35">
      <c r="A130" s="162" t="s">
        <v>298</v>
      </c>
      <c r="B130" s="12">
        <f>task2!D15</f>
        <v>571.55999999999995</v>
      </c>
      <c r="C130" s="12"/>
      <c r="D130" s="12"/>
      <c r="E130" s="12"/>
      <c r="F130" s="12"/>
      <c r="G130" s="25"/>
      <c r="H130" s="24"/>
      <c r="I130" s="12"/>
      <c r="J130" s="12"/>
      <c r="K130" s="12"/>
      <c r="L130" s="25"/>
      <c r="M130" s="24"/>
      <c r="N130" s="12"/>
      <c r="O130" s="12"/>
      <c r="P130" s="12"/>
      <c r="Q130" s="25"/>
    </row>
    <row r="131" spans="1:17" x14ac:dyDescent="0.35">
      <c r="A131" s="162" t="s">
        <v>307</v>
      </c>
      <c r="B131" s="12">
        <f>task2!E15</f>
        <v>303.14999999999998</v>
      </c>
      <c r="C131" s="12"/>
      <c r="D131" s="12"/>
      <c r="E131" s="12"/>
      <c r="F131" s="12"/>
      <c r="G131" s="25"/>
      <c r="H131" s="24"/>
      <c r="I131" s="12"/>
      <c r="J131" s="12"/>
      <c r="K131" s="12"/>
      <c r="L131" s="25"/>
      <c r="M131" s="24"/>
      <c r="N131" s="12"/>
      <c r="O131" s="12"/>
      <c r="P131" s="12"/>
      <c r="Q131" s="25"/>
    </row>
    <row r="132" spans="1:17" x14ac:dyDescent="0.35">
      <c r="A132" s="24"/>
      <c r="B132" s="12"/>
      <c r="C132" s="12"/>
      <c r="D132" s="12"/>
      <c r="E132" s="12"/>
      <c r="F132" s="12"/>
      <c r="G132" s="25"/>
      <c r="H132" s="24"/>
      <c r="I132" s="12"/>
      <c r="J132" s="12"/>
      <c r="K132" s="12"/>
      <c r="L132" s="25"/>
      <c r="M132" s="24"/>
      <c r="N132" s="12"/>
      <c r="O132" s="12"/>
      <c r="P132" s="12"/>
      <c r="Q132" s="25"/>
    </row>
    <row r="133" spans="1:17" x14ac:dyDescent="0.35">
      <c r="A133" s="24" t="s">
        <v>274</v>
      </c>
      <c r="B133" s="12"/>
      <c r="C133" s="12"/>
      <c r="D133" s="12"/>
      <c r="G133" s="25"/>
      <c r="H133" s="24"/>
      <c r="I133" s="12"/>
      <c r="J133" s="12"/>
      <c r="K133" s="12"/>
      <c r="L133" s="25"/>
      <c r="M133" s="24"/>
      <c r="N133" s="12"/>
      <c r="O133" s="12"/>
      <c r="P133" s="12"/>
      <c r="Q133" s="25"/>
    </row>
    <row r="134" spans="1:17" x14ac:dyDescent="0.35">
      <c r="A134" s="24" t="s">
        <v>278</v>
      </c>
      <c r="B134" s="12">
        <v>0.6</v>
      </c>
      <c r="C134" s="12"/>
      <c r="G134" s="25"/>
      <c r="H134" s="24"/>
      <c r="I134" s="12"/>
      <c r="J134" s="12"/>
      <c r="K134" s="12"/>
      <c r="L134" s="25"/>
      <c r="M134" s="24"/>
      <c r="N134" s="12"/>
      <c r="O134" s="12"/>
      <c r="P134" s="12"/>
      <c r="Q134" s="25"/>
    </row>
    <row r="135" spans="1:17" x14ac:dyDescent="0.35">
      <c r="A135" s="24" t="s">
        <v>279</v>
      </c>
      <c r="B135" s="12">
        <f>B129/(E126*E129)</f>
        <v>3787.8547690463702</v>
      </c>
      <c r="C135" s="12"/>
      <c r="D135" s="12"/>
      <c r="E135" s="12" t="s">
        <v>304</v>
      </c>
      <c r="F135" s="12"/>
      <c r="G135" s="25"/>
      <c r="H135" s="24"/>
      <c r="I135" s="12"/>
      <c r="J135" s="12"/>
      <c r="K135" s="12"/>
      <c r="L135" s="25"/>
      <c r="M135" s="24"/>
      <c r="N135" s="12"/>
      <c r="O135" s="12"/>
      <c r="P135" s="12"/>
      <c r="Q135" s="25"/>
    </row>
    <row r="136" spans="1:17" x14ac:dyDescent="0.35">
      <c r="A136" s="24" t="s">
        <v>277</v>
      </c>
      <c r="B136" s="142">
        <f>D124*(B135/G122)^B134</f>
        <v>311340.76741746103</v>
      </c>
      <c r="C136" s="12" t="s">
        <v>287</v>
      </c>
      <c r="D136" s="12" t="s">
        <v>305</v>
      </c>
      <c r="E136" s="163">
        <f>D124*4</f>
        <v>560092.80191433977</v>
      </c>
      <c r="F136" s="12" t="s">
        <v>287</v>
      </c>
      <c r="G136" s="25"/>
      <c r="H136" s="24"/>
      <c r="I136" s="12"/>
      <c r="J136" s="12"/>
      <c r="K136" s="12"/>
      <c r="L136" s="25"/>
      <c r="M136" s="24"/>
      <c r="N136" s="12"/>
      <c r="O136" s="12"/>
      <c r="P136" s="12"/>
      <c r="Q136" s="25"/>
    </row>
    <row r="137" spans="1:17" ht="15" thickBot="1" x14ac:dyDescent="0.4">
      <c r="A137" s="26"/>
      <c r="B137" s="29"/>
      <c r="C137" s="29"/>
      <c r="D137" s="29"/>
      <c r="E137" s="29"/>
      <c r="F137" s="29"/>
      <c r="G137" s="27"/>
      <c r="H137" s="26"/>
      <c r="I137" s="29"/>
      <c r="J137" s="29"/>
      <c r="K137" s="29"/>
      <c r="L137" s="27"/>
      <c r="M137" s="26"/>
      <c r="N137" s="29"/>
      <c r="O137" s="29"/>
      <c r="P137" s="29"/>
      <c r="Q137" s="27"/>
    </row>
    <row r="138" spans="1:17" ht="21.5" thickBot="1" x14ac:dyDescent="0.55000000000000004">
      <c r="A138" s="156" t="s">
        <v>77</v>
      </c>
    </row>
    <row r="139" spans="1:17" ht="15" thickBot="1" x14ac:dyDescent="0.4">
      <c r="A139" s="40" t="s">
        <v>272</v>
      </c>
      <c r="H139" s="3" t="s">
        <v>280</v>
      </c>
      <c r="M139" s="3" t="s">
        <v>286</v>
      </c>
    </row>
    <row r="140" spans="1:17" x14ac:dyDescent="0.35">
      <c r="A140" s="22" t="s">
        <v>268</v>
      </c>
      <c r="B140" s="28" t="s">
        <v>264</v>
      </c>
      <c r="C140" s="28"/>
      <c r="D140" s="28"/>
      <c r="E140" s="28"/>
      <c r="F140" s="28"/>
      <c r="G140" s="23"/>
      <c r="H140" s="22" t="s">
        <v>281</v>
      </c>
      <c r="I140" s="28">
        <v>0</v>
      </c>
      <c r="J140" s="28"/>
      <c r="K140" s="28"/>
      <c r="L140" s="23"/>
      <c r="M140" s="22" t="s">
        <v>288</v>
      </c>
      <c r="N140" s="28"/>
      <c r="O140" s="28"/>
      <c r="P140" s="28"/>
      <c r="Q140" s="23"/>
    </row>
    <row r="141" spans="1:17" x14ac:dyDescent="0.35">
      <c r="A141" s="24" t="s">
        <v>269</v>
      </c>
      <c r="B141" s="12">
        <v>2.2896999999999998</v>
      </c>
      <c r="C141" s="12"/>
      <c r="D141" s="12"/>
      <c r="E141" s="12"/>
      <c r="F141" s="12"/>
      <c r="G141" s="25"/>
      <c r="H141" s="24" t="s">
        <v>282</v>
      </c>
      <c r="I141" s="12">
        <v>0</v>
      </c>
      <c r="J141" s="12"/>
      <c r="K141" s="12"/>
      <c r="L141" s="25"/>
      <c r="M141" s="24" t="s">
        <v>289</v>
      </c>
      <c r="N141" s="142">
        <v>2.7</v>
      </c>
      <c r="O141" s="12"/>
      <c r="P141" s="12"/>
      <c r="Q141" s="25"/>
    </row>
    <row r="142" spans="1:17" x14ac:dyDescent="0.35">
      <c r="A142" s="24" t="s">
        <v>270</v>
      </c>
      <c r="B142" s="12">
        <v>1.3604000000000001</v>
      </c>
      <c r="C142" s="12"/>
      <c r="D142" s="12"/>
      <c r="E142" s="12"/>
      <c r="F142" s="12"/>
      <c r="G142" s="25"/>
      <c r="H142" s="24" t="s">
        <v>283</v>
      </c>
      <c r="I142" s="12">
        <v>0</v>
      </c>
      <c r="J142" s="12"/>
      <c r="K142" s="12"/>
      <c r="L142" s="25"/>
      <c r="M142" s="24"/>
      <c r="N142" s="12"/>
      <c r="O142" s="12"/>
      <c r="P142" s="12"/>
      <c r="Q142" s="25"/>
    </row>
    <row r="143" spans="1:17" x14ac:dyDescent="0.35">
      <c r="A143" s="24" t="s">
        <v>271</v>
      </c>
      <c r="B143" s="12">
        <v>-0.1027</v>
      </c>
      <c r="C143" s="12"/>
      <c r="D143" s="12"/>
      <c r="E143" s="12"/>
      <c r="F143" s="12"/>
      <c r="G143" s="25"/>
      <c r="H143" s="24" t="s">
        <v>333</v>
      </c>
      <c r="I143" s="12"/>
      <c r="J143" s="12"/>
      <c r="K143" s="12"/>
      <c r="L143" s="25"/>
      <c r="M143" s="24"/>
      <c r="N143" s="12"/>
      <c r="O143" s="12"/>
      <c r="P143" s="12"/>
      <c r="Q143" s="25"/>
    </row>
    <row r="144" spans="1:17" x14ac:dyDescent="0.35">
      <c r="A144" s="24" t="s">
        <v>273</v>
      </c>
      <c r="B144" s="12" t="s">
        <v>265</v>
      </c>
      <c r="C144" s="12"/>
      <c r="D144" s="12" t="s">
        <v>266</v>
      </c>
      <c r="E144" s="157">
        <v>450</v>
      </c>
      <c r="F144" s="12" t="s">
        <v>267</v>
      </c>
      <c r="G144" s="153">
        <v>3000</v>
      </c>
      <c r="H144" s="24" t="s">
        <v>332</v>
      </c>
      <c r="I144" s="12"/>
      <c r="J144" s="12"/>
      <c r="K144" s="12"/>
      <c r="L144" s="158">
        <v>1</v>
      </c>
      <c r="M144" s="24"/>
      <c r="N144" s="12"/>
      <c r="O144" s="12"/>
      <c r="P144" s="12"/>
      <c r="Q144" s="25"/>
    </row>
    <row r="145" spans="1:17" x14ac:dyDescent="0.35">
      <c r="A145" s="24"/>
      <c r="B145" s="12"/>
      <c r="C145" s="12"/>
      <c r="D145" s="12"/>
      <c r="E145" s="12"/>
      <c r="F145" s="12"/>
      <c r="G145" s="25"/>
      <c r="H145" s="24"/>
      <c r="I145" s="12"/>
      <c r="J145" s="12"/>
      <c r="K145" s="12"/>
      <c r="L145" s="25"/>
      <c r="M145" s="24"/>
      <c r="N145" s="12"/>
      <c r="O145" s="12"/>
      <c r="P145" s="12"/>
      <c r="Q145" s="25"/>
    </row>
    <row r="146" spans="1:17" x14ac:dyDescent="0.35">
      <c r="A146" s="24" t="s">
        <v>276</v>
      </c>
      <c r="B146" s="12"/>
      <c r="C146" s="12"/>
      <c r="D146" s="12">
        <f>10^(B141+B142*LOG10(G144)+B143*(LOG10(G144))^2)</f>
        <v>600197.97789300827</v>
      </c>
      <c r="E146" s="12"/>
      <c r="F146" s="12"/>
      <c r="G146" s="25"/>
      <c r="H146" s="24"/>
      <c r="I146" s="12"/>
      <c r="J146" s="12"/>
      <c r="K146" s="12"/>
      <c r="L146" s="25"/>
      <c r="M146" s="24"/>
      <c r="N146" s="12"/>
      <c r="O146" s="12"/>
      <c r="P146" s="12"/>
      <c r="Q146" s="25"/>
    </row>
    <row r="147" spans="1:17" x14ac:dyDescent="0.35">
      <c r="A147" s="24" t="s">
        <v>274</v>
      </c>
      <c r="B147" s="12"/>
      <c r="C147" s="12"/>
      <c r="D147" s="12"/>
      <c r="E147" s="12"/>
      <c r="F147" s="12"/>
      <c r="G147" s="25"/>
      <c r="H147" s="24"/>
      <c r="I147" s="12"/>
      <c r="J147" s="12"/>
      <c r="K147" s="12"/>
      <c r="L147" s="25"/>
      <c r="M147" s="24"/>
      <c r="N147" s="12"/>
      <c r="O147" s="12"/>
      <c r="P147" s="12"/>
      <c r="Q147" s="25"/>
    </row>
    <row r="148" spans="1:17" x14ac:dyDescent="0.35">
      <c r="A148" s="24" t="s">
        <v>278</v>
      </c>
      <c r="B148" s="12">
        <v>0.6</v>
      </c>
      <c r="C148" s="12" t="s">
        <v>275</v>
      </c>
      <c r="D148" s="12"/>
      <c r="E148" s="12"/>
      <c r="F148" s="12"/>
      <c r="G148" s="25"/>
      <c r="H148" s="24"/>
      <c r="I148" s="12"/>
      <c r="J148" s="12"/>
      <c r="K148" s="12"/>
      <c r="L148" s="25"/>
      <c r="M148" s="24"/>
      <c r="N148" s="12"/>
      <c r="O148" s="12"/>
      <c r="P148" s="12"/>
      <c r="Q148" s="25"/>
    </row>
    <row r="149" spans="1:17" x14ac:dyDescent="0.35">
      <c r="A149" s="24" t="s">
        <v>279</v>
      </c>
      <c r="B149" s="12">
        <f>ABS(task2!E56)</f>
        <v>31713.405000000002</v>
      </c>
      <c r="C149" s="12"/>
      <c r="D149" s="12"/>
      <c r="E149" s="12"/>
      <c r="F149" s="12"/>
      <c r="G149" s="25"/>
      <c r="H149" s="24"/>
      <c r="I149" s="12"/>
      <c r="J149" s="12"/>
      <c r="K149" s="12"/>
      <c r="L149" s="25"/>
      <c r="M149" s="24"/>
      <c r="N149" s="12"/>
      <c r="O149" s="12"/>
      <c r="P149" s="12"/>
      <c r="Q149" s="25"/>
    </row>
    <row r="150" spans="1:17" x14ac:dyDescent="0.35">
      <c r="A150" s="24" t="s">
        <v>277</v>
      </c>
      <c r="B150" s="142">
        <f>D146*(B149/G144)^B148</f>
        <v>2470401.2554838452</v>
      </c>
      <c r="C150" s="12" t="s">
        <v>287</v>
      </c>
      <c r="D150" s="12"/>
      <c r="E150" s="12"/>
      <c r="F150" s="12"/>
      <c r="G150" s="25"/>
      <c r="H150" s="24"/>
      <c r="I150" s="12"/>
      <c r="J150" s="12"/>
      <c r="K150" s="12"/>
      <c r="L150" s="25"/>
      <c r="M150" s="24"/>
      <c r="N150" s="12"/>
      <c r="O150" s="12"/>
      <c r="P150" s="12"/>
      <c r="Q150" s="25"/>
    </row>
    <row r="151" spans="1:17" ht="15" thickBot="1" x14ac:dyDescent="0.4">
      <c r="A151" s="26"/>
      <c r="B151" s="29"/>
      <c r="C151" s="29"/>
      <c r="D151" s="29"/>
      <c r="E151" s="29"/>
      <c r="F151" s="29"/>
      <c r="G151" s="27"/>
      <c r="H151" s="26"/>
      <c r="I151" s="29"/>
      <c r="J151" s="29"/>
      <c r="K151" s="29"/>
      <c r="L151" s="27"/>
      <c r="M151" s="26"/>
      <c r="N151" s="29"/>
      <c r="O151" s="29"/>
      <c r="P151" s="29"/>
      <c r="Q151" s="27"/>
    </row>
    <row r="152" spans="1:17" ht="21.5" thickBot="1" x14ac:dyDescent="0.55000000000000004">
      <c r="A152" s="159" t="s">
        <v>102</v>
      </c>
      <c r="B152" s="2"/>
    </row>
    <row r="153" spans="1:17" ht="15" thickBot="1" x14ac:dyDescent="0.4">
      <c r="A153" s="132" t="s">
        <v>272</v>
      </c>
      <c r="B153" s="12"/>
      <c r="C153" s="12"/>
      <c r="D153" s="12"/>
      <c r="E153" s="12"/>
      <c r="F153" s="12"/>
      <c r="G153" s="12"/>
      <c r="H153" s="54" t="s">
        <v>280</v>
      </c>
      <c r="M153" s="54" t="s">
        <v>286</v>
      </c>
    </row>
    <row r="154" spans="1:17" x14ac:dyDescent="0.35">
      <c r="A154" s="22" t="s">
        <v>268</v>
      </c>
      <c r="B154" s="28" t="s">
        <v>291</v>
      </c>
      <c r="C154" s="28"/>
      <c r="D154" s="28"/>
      <c r="E154" s="28"/>
      <c r="F154" s="28"/>
      <c r="G154" s="23"/>
      <c r="H154" s="22" t="s">
        <v>281</v>
      </c>
      <c r="I154" s="28">
        <v>3.8809999999999997E-2</v>
      </c>
      <c r="J154" s="28"/>
      <c r="K154" s="28"/>
      <c r="L154" s="23"/>
      <c r="M154" s="22" t="s">
        <v>306</v>
      </c>
      <c r="N154" s="28"/>
      <c r="O154" s="28"/>
      <c r="P154" s="28"/>
      <c r="Q154" s="23"/>
    </row>
    <row r="155" spans="1:17" x14ac:dyDescent="0.35">
      <c r="A155" s="24" t="s">
        <v>269</v>
      </c>
      <c r="B155" s="12">
        <v>4.8305999999999996</v>
      </c>
      <c r="C155" s="12"/>
      <c r="D155" s="12"/>
      <c r="E155" s="12"/>
      <c r="F155" s="12"/>
      <c r="G155" s="25"/>
      <c r="H155" s="24" t="s">
        <v>282</v>
      </c>
      <c r="I155" s="12">
        <v>-0.11272</v>
      </c>
      <c r="J155" s="12"/>
      <c r="K155" s="12"/>
      <c r="L155" s="25"/>
      <c r="M155" s="24" t="s">
        <v>289</v>
      </c>
      <c r="N155" s="142">
        <v>1</v>
      </c>
      <c r="O155" s="12"/>
      <c r="P155" s="12"/>
      <c r="Q155" s="25"/>
    </row>
    <row r="156" spans="1:17" x14ac:dyDescent="0.35">
      <c r="A156" s="24" t="s">
        <v>270</v>
      </c>
      <c r="B156" s="12">
        <v>-0.85089999999999999</v>
      </c>
      <c r="C156" s="12"/>
      <c r="D156" s="12"/>
      <c r="E156" s="12"/>
      <c r="F156" s="12"/>
      <c r="G156" s="25"/>
      <c r="H156" s="24" t="s">
        <v>283</v>
      </c>
      <c r="I156" s="12">
        <v>8.183E-2</v>
      </c>
      <c r="J156" s="12"/>
      <c r="K156" s="12"/>
      <c r="L156" s="25"/>
      <c r="M156" s="24"/>
      <c r="N156" s="12"/>
      <c r="O156" s="12"/>
      <c r="P156" s="12"/>
      <c r="Q156" s="25"/>
    </row>
    <row r="157" spans="1:17" x14ac:dyDescent="0.35">
      <c r="A157" s="24" t="s">
        <v>271</v>
      </c>
      <c r="B157" s="12">
        <v>0.31869999999999998</v>
      </c>
      <c r="C157" s="12"/>
      <c r="D157" s="12"/>
      <c r="E157" s="12"/>
      <c r="F157" s="12"/>
      <c r="G157" s="25"/>
      <c r="H157" s="24" t="s">
        <v>311</v>
      </c>
      <c r="I157" s="12">
        <f>task1!F25</f>
        <v>72</v>
      </c>
      <c r="J157" s="12"/>
      <c r="K157" s="12"/>
      <c r="L157" s="25"/>
      <c r="M157" s="24"/>
      <c r="N157" s="12"/>
      <c r="O157" s="12"/>
      <c r="P157" s="12"/>
      <c r="Q157" s="25"/>
    </row>
    <row r="158" spans="1:17" x14ac:dyDescent="0.35">
      <c r="A158" s="24" t="s">
        <v>273</v>
      </c>
      <c r="B158" s="12" t="s">
        <v>292</v>
      </c>
      <c r="C158" s="12"/>
      <c r="D158" s="12" t="s">
        <v>266</v>
      </c>
      <c r="E158" s="157">
        <v>10</v>
      </c>
      <c r="F158" s="12" t="s">
        <v>267</v>
      </c>
      <c r="G158" s="153">
        <v>1000</v>
      </c>
      <c r="H158" s="24" t="s">
        <v>332</v>
      </c>
      <c r="I158" s="12"/>
      <c r="J158" s="12"/>
      <c r="K158" s="12"/>
      <c r="L158" s="158">
        <f>10^(I154+I155*LOG10(I157)+I156*(LOG10(I157))^2)</f>
        <v>1.293418662199</v>
      </c>
      <c r="M158" s="24"/>
      <c r="N158" s="12"/>
      <c r="O158" s="12"/>
      <c r="P158" s="12"/>
      <c r="Q158" s="25"/>
    </row>
    <row r="159" spans="1:17" x14ac:dyDescent="0.35">
      <c r="A159" s="24"/>
      <c r="B159" s="12"/>
      <c r="C159" s="12"/>
      <c r="D159" s="12"/>
      <c r="E159" s="12"/>
      <c r="F159" s="12"/>
      <c r="G159" s="25"/>
      <c r="H159" s="24"/>
      <c r="I159" s="12"/>
      <c r="J159" s="12"/>
      <c r="K159" s="12"/>
      <c r="L159" s="25"/>
      <c r="M159" s="24"/>
      <c r="N159" s="12"/>
      <c r="O159" s="12"/>
      <c r="P159" s="12"/>
      <c r="Q159" s="25"/>
    </row>
    <row r="160" spans="1:17" x14ac:dyDescent="0.35">
      <c r="A160" s="24" t="s">
        <v>276</v>
      </c>
      <c r="B160" s="12"/>
      <c r="C160" s="12"/>
      <c r="D160" s="12">
        <f>10^(B155+B156*LOG10(G158)+B157*(LOG10(G158))^2)</f>
        <v>140023.20047858494</v>
      </c>
      <c r="E160" s="12"/>
      <c r="F160" s="12"/>
      <c r="G160" s="25"/>
      <c r="H160" s="24"/>
      <c r="I160" s="12"/>
      <c r="J160" s="12"/>
      <c r="K160" s="12"/>
      <c r="L160" s="25"/>
      <c r="M160" s="24"/>
      <c r="N160" s="12"/>
      <c r="O160" s="12"/>
      <c r="P160" s="12"/>
      <c r="Q160" s="25"/>
    </row>
    <row r="161" spans="1:17" x14ac:dyDescent="0.35">
      <c r="A161" s="24"/>
      <c r="B161" s="12"/>
      <c r="C161" s="12"/>
      <c r="D161" s="12"/>
      <c r="E161" s="12"/>
      <c r="F161" s="12"/>
      <c r="G161" s="25"/>
      <c r="H161" s="24"/>
      <c r="I161" s="12"/>
      <c r="J161" s="12"/>
      <c r="K161" s="12"/>
      <c r="L161" s="25"/>
      <c r="M161" s="24"/>
      <c r="N161" s="12"/>
      <c r="O161" s="12"/>
      <c r="P161" s="12"/>
      <c r="Q161" s="25"/>
    </row>
    <row r="162" spans="1:17" x14ac:dyDescent="0.35">
      <c r="A162" s="24" t="s">
        <v>293</v>
      </c>
      <c r="B162" s="12" t="s">
        <v>294</v>
      </c>
      <c r="C162" s="12"/>
      <c r="D162" s="160" t="s">
        <v>299</v>
      </c>
      <c r="E162" s="12">
        <v>0.1</v>
      </c>
      <c r="F162" s="12"/>
      <c r="G162" s="25"/>
      <c r="H162" s="24"/>
      <c r="I162" s="12"/>
      <c r="J162" s="12"/>
      <c r="K162" s="12"/>
      <c r="L162" s="25"/>
      <c r="M162" s="24"/>
      <c r="N162" s="12"/>
      <c r="O162" s="12"/>
      <c r="P162" s="12"/>
      <c r="Q162" s="25"/>
    </row>
    <row r="163" spans="1:17" x14ac:dyDescent="0.35">
      <c r="A163" s="24" t="s">
        <v>297</v>
      </c>
      <c r="B163" s="161">
        <v>288.14999999999998</v>
      </c>
      <c r="C163" s="12"/>
      <c r="D163" s="160" t="s">
        <v>301</v>
      </c>
      <c r="E163" s="12">
        <v>4.1859999999999999</v>
      </c>
      <c r="F163" s="12"/>
      <c r="G163" s="25"/>
      <c r="H163" s="24"/>
      <c r="I163" s="12"/>
      <c r="J163" s="12"/>
      <c r="K163" s="12"/>
      <c r="L163" s="25"/>
      <c r="M163" s="24"/>
      <c r="N163" s="12"/>
      <c r="O163" s="12"/>
      <c r="P163" s="12"/>
      <c r="Q163" s="25"/>
    </row>
    <row r="164" spans="1:17" x14ac:dyDescent="0.35">
      <c r="A164" s="24" t="s">
        <v>295</v>
      </c>
      <c r="B164" s="12">
        <v>138.88999999999999</v>
      </c>
      <c r="C164" s="12"/>
      <c r="D164" s="160" t="s">
        <v>300</v>
      </c>
      <c r="E164" s="12">
        <f>B165/(B164*E163)+B163</f>
        <v>342.30435644503376</v>
      </c>
      <c r="F164" s="12"/>
      <c r="G164" s="25"/>
      <c r="H164" s="24"/>
      <c r="I164" s="12"/>
      <c r="J164" s="12"/>
      <c r="K164" s="12"/>
      <c r="L164" s="25"/>
      <c r="M164" s="24"/>
      <c r="N164" s="12"/>
      <c r="O164" s="12"/>
      <c r="P164" s="12"/>
      <c r="Q164" s="25"/>
    </row>
    <row r="165" spans="1:17" x14ac:dyDescent="0.35">
      <c r="A165" s="162" t="s">
        <v>296</v>
      </c>
      <c r="B165" s="12">
        <f>ABS(task2!F56)</f>
        <v>31484.992999999999</v>
      </c>
      <c r="C165" s="12"/>
      <c r="D165" s="160" t="s">
        <v>302</v>
      </c>
      <c r="E165" s="12">
        <f>((B167-B163)-(B166-E164))/LN((B167-B163)/(B166-E164))</f>
        <v>95.036059850468433</v>
      </c>
      <c r="F165" s="12"/>
      <c r="G165" s="25"/>
      <c r="H165" s="24"/>
      <c r="I165" s="12"/>
      <c r="J165" s="12"/>
      <c r="K165" s="12"/>
      <c r="L165" s="25"/>
      <c r="M165" s="24"/>
      <c r="N165" s="12"/>
      <c r="O165" s="12"/>
      <c r="P165" s="12"/>
      <c r="Q165" s="25"/>
    </row>
    <row r="166" spans="1:17" x14ac:dyDescent="0.35">
      <c r="A166" s="162" t="s">
        <v>308</v>
      </c>
      <c r="B166" s="12">
        <f>task1!F24</f>
        <v>582.22</v>
      </c>
      <c r="C166" s="12"/>
      <c r="D166" s="12"/>
      <c r="E166" s="12"/>
      <c r="F166" s="12"/>
      <c r="G166" s="25"/>
      <c r="H166" s="24"/>
      <c r="I166" s="12"/>
      <c r="J166" s="12"/>
      <c r="K166" s="12"/>
      <c r="L166" s="25"/>
      <c r="M166" s="24"/>
      <c r="N166" s="12"/>
      <c r="O166" s="12"/>
      <c r="P166" s="12"/>
      <c r="Q166" s="25"/>
    </row>
    <row r="167" spans="1:17" x14ac:dyDescent="0.35">
      <c r="A167" s="162" t="s">
        <v>309</v>
      </c>
      <c r="B167" s="12">
        <f>task1!G24</f>
        <v>313.14999999999998</v>
      </c>
      <c r="C167" s="12"/>
      <c r="D167" s="12"/>
      <c r="E167" s="12"/>
      <c r="F167" s="12"/>
      <c r="G167" s="25"/>
      <c r="H167" s="24"/>
      <c r="I167" s="12"/>
      <c r="J167" s="12"/>
      <c r="K167" s="12"/>
      <c r="L167" s="25"/>
      <c r="M167" s="24"/>
      <c r="N167" s="12"/>
      <c r="O167" s="12"/>
      <c r="P167" s="12"/>
      <c r="Q167" s="25"/>
    </row>
    <row r="168" spans="1:17" x14ac:dyDescent="0.35">
      <c r="A168" s="24"/>
      <c r="B168" s="12"/>
      <c r="C168" s="12"/>
      <c r="D168" s="12"/>
      <c r="E168" s="12"/>
      <c r="F168" s="12"/>
      <c r="G168" s="25"/>
      <c r="H168" s="24"/>
      <c r="I168" s="12"/>
      <c r="J168" s="12"/>
      <c r="K168" s="12"/>
      <c r="L168" s="25"/>
      <c r="M168" s="24"/>
      <c r="N168" s="12"/>
      <c r="O168" s="12"/>
      <c r="P168" s="12"/>
      <c r="Q168" s="25"/>
    </row>
    <row r="169" spans="1:17" x14ac:dyDescent="0.35">
      <c r="A169" s="24" t="s">
        <v>274</v>
      </c>
      <c r="B169" s="12"/>
      <c r="C169" s="12"/>
      <c r="D169" s="12"/>
      <c r="G169" s="25"/>
      <c r="H169" s="24"/>
      <c r="I169" s="12"/>
      <c r="J169" s="12"/>
      <c r="K169" s="12"/>
      <c r="L169" s="25"/>
      <c r="M169" s="24"/>
      <c r="N169" s="12"/>
      <c r="O169" s="12"/>
      <c r="P169" s="12"/>
      <c r="Q169" s="25"/>
    </row>
    <row r="170" spans="1:17" x14ac:dyDescent="0.35">
      <c r="A170" s="24" t="s">
        <v>278</v>
      </c>
      <c r="B170" s="12">
        <v>0.6</v>
      </c>
      <c r="C170" s="12"/>
      <c r="G170" s="25"/>
      <c r="H170" s="24"/>
      <c r="I170" s="12"/>
      <c r="J170" s="12"/>
      <c r="K170" s="12"/>
      <c r="L170" s="25"/>
      <c r="M170" s="24"/>
      <c r="N170" s="12"/>
      <c r="O170" s="12"/>
      <c r="P170" s="12"/>
      <c r="Q170" s="25"/>
    </row>
    <row r="171" spans="1:17" x14ac:dyDescent="0.35">
      <c r="A171" s="24" t="s">
        <v>279</v>
      </c>
      <c r="B171" s="12">
        <f>B165/(E162*E165)</f>
        <v>3312.9522677538494</v>
      </c>
      <c r="C171" s="12"/>
      <c r="D171" s="12"/>
      <c r="E171" s="12" t="s">
        <v>310</v>
      </c>
      <c r="F171" s="12"/>
      <c r="G171" s="25"/>
      <c r="H171" s="24"/>
      <c r="I171" s="12"/>
      <c r="J171" s="12"/>
      <c r="K171" s="12"/>
      <c r="L171" s="25"/>
      <c r="M171" s="24"/>
      <c r="N171" s="12"/>
      <c r="O171" s="12"/>
      <c r="P171" s="12"/>
      <c r="Q171" s="25"/>
    </row>
    <row r="172" spans="1:17" x14ac:dyDescent="0.35">
      <c r="A172" s="24" t="s">
        <v>277</v>
      </c>
      <c r="B172" s="142">
        <f>D160*(B171/G158)^B170</f>
        <v>287295.6876567732</v>
      </c>
      <c r="C172" s="12" t="s">
        <v>287</v>
      </c>
      <c r="D172" s="12" t="s">
        <v>305</v>
      </c>
      <c r="E172" s="163">
        <f>D160*3</f>
        <v>420069.6014357548</v>
      </c>
      <c r="F172" s="12" t="s">
        <v>287</v>
      </c>
      <c r="G172" s="25"/>
      <c r="H172" s="24"/>
      <c r="I172" s="12"/>
      <c r="J172" s="12"/>
      <c r="K172" s="12"/>
      <c r="L172" s="25"/>
      <c r="M172" s="24"/>
      <c r="N172" s="12"/>
      <c r="O172" s="12"/>
      <c r="P172" s="12"/>
      <c r="Q172" s="25"/>
    </row>
    <row r="173" spans="1:17" ht="15" thickBot="1" x14ac:dyDescent="0.4">
      <c r="A173" s="26"/>
      <c r="B173" s="29"/>
      <c r="C173" s="29"/>
      <c r="D173" s="29"/>
      <c r="E173" s="29"/>
      <c r="F173" s="29"/>
      <c r="G173" s="27"/>
      <c r="H173" s="26"/>
      <c r="I173" s="29"/>
      <c r="J173" s="29"/>
      <c r="K173" s="29"/>
      <c r="L173" s="27"/>
      <c r="M173" s="26"/>
      <c r="N173" s="29"/>
      <c r="O173" s="29"/>
      <c r="P173" s="29"/>
      <c r="Q173" s="27"/>
    </row>
    <row r="174" spans="1:17" ht="21.5" thickBot="1" x14ac:dyDescent="0.55000000000000004">
      <c r="A174" s="166" t="s">
        <v>312</v>
      </c>
    </row>
    <row r="175" spans="1:17" x14ac:dyDescent="0.35">
      <c r="A175" s="167" t="s">
        <v>313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3"/>
    </row>
    <row r="176" spans="1:17" x14ac:dyDescent="0.35">
      <c r="A176" s="152" t="s">
        <v>314</v>
      </c>
      <c r="B176" s="12">
        <v>60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25"/>
    </row>
    <row r="177" spans="1:17" x14ac:dyDescent="0.35">
      <c r="A177" s="152" t="s">
        <v>315</v>
      </c>
      <c r="B177" s="12">
        <f>task1!K41*1000</f>
        <v>78681.125000000015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25"/>
    </row>
    <row r="178" spans="1:17" x14ac:dyDescent="0.35">
      <c r="A178" s="152" t="s">
        <v>316</v>
      </c>
      <c r="B178" s="142">
        <f>B176*B177</f>
        <v>4720867.5000000009</v>
      </c>
      <c r="C178" s="12" t="s">
        <v>287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25"/>
    </row>
    <row r="179" spans="1:17" ht="15" thickBot="1" x14ac:dyDescent="0.4">
      <c r="A179" s="26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7"/>
    </row>
    <row r="180" spans="1:17" ht="21.5" thickBot="1" x14ac:dyDescent="0.55000000000000004">
      <c r="A180" s="166" t="s">
        <v>36</v>
      </c>
    </row>
    <row r="181" spans="1:17" x14ac:dyDescent="0.35">
      <c r="A181" s="167" t="s">
        <v>325</v>
      </c>
      <c r="B181" s="168">
        <v>300000</v>
      </c>
      <c r="C181" s="28" t="s">
        <v>287</v>
      </c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3"/>
    </row>
    <row r="182" spans="1:17" x14ac:dyDescent="0.35">
      <c r="A182" s="24" t="s">
        <v>326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25"/>
    </row>
    <row r="183" spans="1:17" x14ac:dyDescent="0.35">
      <c r="A183" s="2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25"/>
    </row>
    <row r="184" spans="1:17" ht="15" thickBot="1" x14ac:dyDescent="0.4">
      <c r="A184" s="26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7"/>
    </row>
    <row r="185" spans="1:17" ht="21.5" thickBot="1" x14ac:dyDescent="0.55000000000000004">
      <c r="A185" s="166" t="s">
        <v>37</v>
      </c>
    </row>
    <row r="186" spans="1:17" ht="15" thickBot="1" x14ac:dyDescent="0.4">
      <c r="A186" s="40" t="s">
        <v>272</v>
      </c>
      <c r="H186" s="54" t="s">
        <v>280</v>
      </c>
      <c r="M186" s="54" t="s">
        <v>286</v>
      </c>
    </row>
    <row r="187" spans="1:17" x14ac:dyDescent="0.35">
      <c r="A187" s="167" t="s">
        <v>327</v>
      </c>
      <c r="B187" s="28" t="s">
        <v>328</v>
      </c>
      <c r="C187" s="28"/>
      <c r="D187" s="28"/>
      <c r="E187" s="28"/>
      <c r="F187" s="28"/>
      <c r="G187" s="23"/>
      <c r="H187" s="22" t="s">
        <v>281</v>
      </c>
      <c r="I187" s="28">
        <v>0</v>
      </c>
      <c r="J187" s="28"/>
      <c r="K187" s="28"/>
      <c r="L187" s="23"/>
      <c r="M187" s="22" t="s">
        <v>330</v>
      </c>
      <c r="N187" s="28"/>
      <c r="O187" s="28"/>
      <c r="P187" s="28"/>
      <c r="Q187" s="23"/>
    </row>
    <row r="188" spans="1:17" x14ac:dyDescent="0.35">
      <c r="A188" s="152" t="s">
        <v>269</v>
      </c>
      <c r="B188" s="12">
        <v>2.7050999999999998</v>
      </c>
      <c r="C188" s="12"/>
      <c r="D188" s="12"/>
      <c r="E188" s="12"/>
      <c r="F188" s="12"/>
      <c r="G188" s="25"/>
      <c r="H188" s="24" t="s">
        <v>282</v>
      </c>
      <c r="I188" s="12">
        <v>0</v>
      </c>
      <c r="J188" s="12"/>
      <c r="K188" s="12"/>
      <c r="L188" s="25"/>
      <c r="M188" s="24" t="s">
        <v>357</v>
      </c>
      <c r="N188" s="12">
        <f>task1!J24</f>
        <v>823.15</v>
      </c>
      <c r="O188" s="12"/>
      <c r="P188" s="12"/>
      <c r="Q188" s="25"/>
    </row>
    <row r="189" spans="1:17" x14ac:dyDescent="0.35">
      <c r="A189" s="152" t="s">
        <v>270</v>
      </c>
      <c r="B189" s="12">
        <v>1.4398</v>
      </c>
      <c r="C189" s="12"/>
      <c r="D189" s="12"/>
      <c r="E189" s="12"/>
      <c r="F189" s="12"/>
      <c r="G189" s="25"/>
      <c r="H189" s="24" t="s">
        <v>283</v>
      </c>
      <c r="I189" s="12">
        <v>0</v>
      </c>
      <c r="J189" s="12"/>
      <c r="K189" s="12"/>
      <c r="L189" s="25"/>
      <c r="M189" s="24" t="s">
        <v>331</v>
      </c>
      <c r="N189" s="12"/>
      <c r="O189" s="12"/>
      <c r="P189" s="12"/>
      <c r="Q189" s="25"/>
    </row>
    <row r="190" spans="1:17" x14ac:dyDescent="0.35">
      <c r="A190" s="152" t="s">
        <v>271</v>
      </c>
      <c r="B190" s="12">
        <v>-0.17760000000000001</v>
      </c>
      <c r="C190" s="12"/>
      <c r="D190" s="12"/>
      <c r="E190" s="12"/>
      <c r="F190" s="12"/>
      <c r="G190" s="25"/>
      <c r="H190" s="24" t="s">
        <v>329</v>
      </c>
      <c r="I190" s="12">
        <v>72</v>
      </c>
      <c r="J190" s="12"/>
      <c r="K190" s="12"/>
      <c r="L190" s="25"/>
      <c r="M190" s="24" t="s">
        <v>289</v>
      </c>
      <c r="N190" s="142">
        <v>6.1</v>
      </c>
      <c r="O190" s="12"/>
      <c r="P190" s="12"/>
      <c r="Q190" s="25"/>
    </row>
    <row r="191" spans="1:17" x14ac:dyDescent="0.35">
      <c r="A191" s="152" t="s">
        <v>273</v>
      </c>
      <c r="B191" s="12" t="s">
        <v>265</v>
      </c>
      <c r="C191" s="12"/>
      <c r="D191" s="12" t="s">
        <v>266</v>
      </c>
      <c r="E191" s="12">
        <v>100</v>
      </c>
      <c r="F191" s="12" t="s">
        <v>267</v>
      </c>
      <c r="G191" s="25">
        <v>1500</v>
      </c>
      <c r="H191" s="24" t="s">
        <v>332</v>
      </c>
      <c r="I191" s="12"/>
      <c r="J191" s="12"/>
      <c r="K191" s="12"/>
      <c r="L191" s="158">
        <v>1</v>
      </c>
      <c r="M191" s="24"/>
      <c r="N191" s="12"/>
      <c r="O191" s="12"/>
      <c r="P191" s="12"/>
      <c r="Q191" s="25"/>
    </row>
    <row r="192" spans="1:17" x14ac:dyDescent="0.35">
      <c r="A192" s="24"/>
      <c r="B192" s="12"/>
      <c r="C192" s="12"/>
      <c r="D192" s="12"/>
      <c r="E192" s="12"/>
      <c r="F192" s="12"/>
      <c r="G192" s="25"/>
      <c r="H192" s="24"/>
      <c r="I192" s="12"/>
      <c r="J192" s="12"/>
      <c r="K192" s="12"/>
      <c r="L192" s="25"/>
      <c r="M192" s="24"/>
      <c r="N192" s="12"/>
      <c r="O192" s="12"/>
      <c r="P192" s="12"/>
      <c r="Q192" s="25"/>
    </row>
    <row r="193" spans="1:19" x14ac:dyDescent="0.35">
      <c r="A193" s="24" t="s">
        <v>276</v>
      </c>
      <c r="B193" s="12"/>
      <c r="C193" s="12"/>
      <c r="D193" s="12">
        <f>10^(B188+B189*LOG10(G191)+B190*(LOG10(G191))^2)</f>
        <v>306539.40139335563</v>
      </c>
      <c r="E193" s="12"/>
      <c r="F193" s="12"/>
      <c r="G193" s="25"/>
      <c r="H193" s="24"/>
      <c r="I193" s="12"/>
      <c r="J193" s="12"/>
      <c r="K193" s="12"/>
      <c r="L193" s="25"/>
      <c r="M193" s="24"/>
      <c r="N193" s="12"/>
      <c r="O193" s="12"/>
      <c r="P193" s="12"/>
      <c r="Q193" s="25"/>
    </row>
    <row r="194" spans="1:19" x14ac:dyDescent="0.35">
      <c r="A194" s="152" t="s">
        <v>274</v>
      </c>
      <c r="B194" s="12"/>
      <c r="C194" s="12"/>
      <c r="D194" s="12"/>
      <c r="E194" s="12"/>
      <c r="F194" s="12"/>
      <c r="G194" s="25"/>
      <c r="H194" s="24"/>
      <c r="I194" s="12"/>
      <c r="J194" s="12"/>
      <c r="K194" s="12"/>
      <c r="L194" s="25"/>
      <c r="M194" s="24"/>
      <c r="N194" s="12"/>
      <c r="O194" s="12"/>
      <c r="P194" s="12"/>
      <c r="Q194" s="25"/>
    </row>
    <row r="195" spans="1:19" x14ac:dyDescent="0.35">
      <c r="A195" s="152" t="s">
        <v>278</v>
      </c>
      <c r="B195" s="12">
        <v>0.6</v>
      </c>
      <c r="C195" s="12"/>
      <c r="D195" s="12"/>
      <c r="E195" s="12"/>
      <c r="F195" s="12"/>
      <c r="G195" s="25"/>
      <c r="H195" s="24"/>
      <c r="I195" s="12"/>
      <c r="J195" s="12"/>
      <c r="K195" s="12"/>
      <c r="L195" s="25"/>
      <c r="M195" s="24"/>
      <c r="N195" s="12"/>
      <c r="O195" s="12"/>
      <c r="P195" s="12"/>
      <c r="Q195" s="25"/>
    </row>
    <row r="196" spans="1:19" x14ac:dyDescent="0.35">
      <c r="A196" s="152" t="s">
        <v>279</v>
      </c>
      <c r="B196" s="12">
        <f>task2!$G$56</f>
        <v>24818.525000000001</v>
      </c>
      <c r="C196" s="12"/>
      <c r="D196" s="12"/>
      <c r="E196" s="12"/>
      <c r="F196" s="12"/>
      <c r="G196" s="25"/>
      <c r="H196" s="24"/>
      <c r="I196" s="12"/>
      <c r="J196" s="12"/>
      <c r="K196" s="12"/>
      <c r="L196" s="25"/>
      <c r="M196" s="24"/>
      <c r="N196" s="12"/>
      <c r="O196" s="12"/>
      <c r="P196" s="12"/>
      <c r="Q196" s="25"/>
    </row>
    <row r="197" spans="1:19" x14ac:dyDescent="0.35">
      <c r="A197" s="24" t="s">
        <v>277</v>
      </c>
      <c r="B197" s="142">
        <f>D193*(B196/G191)^B195</f>
        <v>1650810.1476946478</v>
      </c>
      <c r="C197" s="12" t="s">
        <v>287</v>
      </c>
      <c r="D197" s="12"/>
      <c r="E197" s="12"/>
      <c r="F197" s="12"/>
      <c r="G197" s="25"/>
      <c r="H197" s="24"/>
      <c r="I197" s="12"/>
      <c r="J197" s="12"/>
      <c r="K197" s="12"/>
      <c r="L197" s="25"/>
      <c r="M197" s="24"/>
      <c r="N197" s="12"/>
      <c r="O197" s="12"/>
      <c r="P197" s="12"/>
      <c r="Q197" s="25"/>
    </row>
    <row r="198" spans="1:19" ht="15" thickBot="1" x14ac:dyDescent="0.4">
      <c r="A198" s="26"/>
      <c r="B198" s="29"/>
      <c r="C198" s="29"/>
      <c r="D198" s="29"/>
      <c r="E198" s="29"/>
      <c r="F198" s="29"/>
      <c r="G198" s="27"/>
      <c r="H198" s="26"/>
      <c r="I198" s="29"/>
      <c r="J198" s="29"/>
      <c r="K198" s="29"/>
      <c r="L198" s="27"/>
      <c r="M198" s="26"/>
      <c r="N198" s="29"/>
      <c r="O198" s="29"/>
      <c r="P198" s="29"/>
      <c r="Q198" s="27"/>
    </row>
    <row r="199" spans="1:19" ht="21.5" thickBot="1" x14ac:dyDescent="0.55000000000000004">
      <c r="A199" s="156" t="s">
        <v>63</v>
      </c>
    </row>
    <row r="200" spans="1:19" ht="15" thickBot="1" x14ac:dyDescent="0.4">
      <c r="A200" s="41" t="s">
        <v>272</v>
      </c>
      <c r="H200" s="54" t="s">
        <v>280</v>
      </c>
      <c r="M200" s="54" t="s">
        <v>286</v>
      </c>
      <c r="R200" s="3" t="s">
        <v>349</v>
      </c>
      <c r="S200" s="3" t="s">
        <v>350</v>
      </c>
    </row>
    <row r="201" spans="1:19" x14ac:dyDescent="0.35">
      <c r="A201" s="167" t="s">
        <v>327</v>
      </c>
      <c r="B201" s="28" t="s">
        <v>334</v>
      </c>
      <c r="C201" s="28"/>
      <c r="D201" s="28"/>
      <c r="E201" s="28"/>
      <c r="F201" s="28"/>
      <c r="G201" s="23"/>
      <c r="H201" s="22" t="s">
        <v>347</v>
      </c>
      <c r="I201" s="28"/>
      <c r="J201" s="28"/>
      <c r="K201" s="28"/>
      <c r="L201" s="23"/>
      <c r="M201" s="22" t="s">
        <v>346</v>
      </c>
      <c r="N201" s="28"/>
      <c r="O201" s="28"/>
      <c r="P201" s="28"/>
      <c r="Q201" s="23"/>
      <c r="R201" s="169">
        <v>1.49</v>
      </c>
      <c r="S201" s="170">
        <v>1.52</v>
      </c>
    </row>
    <row r="202" spans="1:19" ht="15" thickBot="1" x14ac:dyDescent="0.4">
      <c r="A202" s="152" t="s">
        <v>269</v>
      </c>
      <c r="B202" s="12">
        <v>3.5565000000000002</v>
      </c>
      <c r="C202" s="12"/>
      <c r="D202" s="12"/>
      <c r="E202" s="12"/>
      <c r="F202" s="12"/>
      <c r="G202" s="25"/>
      <c r="H202" s="24" t="s">
        <v>343</v>
      </c>
      <c r="I202" s="12"/>
      <c r="J202" s="12">
        <v>1.5</v>
      </c>
      <c r="K202" s="12"/>
      <c r="L202" s="25"/>
      <c r="M202" s="24" t="s">
        <v>289</v>
      </c>
      <c r="N202" s="142">
        <v>3.1</v>
      </c>
      <c r="O202" s="12"/>
      <c r="P202" s="12"/>
      <c r="Q202" s="25"/>
      <c r="R202" s="26"/>
      <c r="S202" s="27"/>
    </row>
    <row r="203" spans="1:19" x14ac:dyDescent="0.35">
      <c r="A203" s="152" t="s">
        <v>270</v>
      </c>
      <c r="B203" s="12">
        <v>0.37759999999999999</v>
      </c>
      <c r="C203" s="12"/>
      <c r="D203" s="12"/>
      <c r="E203" s="12"/>
      <c r="F203" s="12"/>
      <c r="G203" s="25"/>
      <c r="H203" s="24" t="s">
        <v>344</v>
      </c>
      <c r="I203" s="12"/>
      <c r="J203" s="12">
        <f>B216/(3.14*(J202/2)^2)</f>
        <v>1.215005449398443</v>
      </c>
      <c r="K203" s="12"/>
      <c r="L203" s="25"/>
      <c r="M203" s="24"/>
      <c r="N203" s="12"/>
      <c r="O203" s="12"/>
      <c r="P203" s="12"/>
      <c r="Q203" s="25"/>
    </row>
    <row r="204" spans="1:19" x14ac:dyDescent="0.35">
      <c r="A204" s="152" t="s">
        <v>271</v>
      </c>
      <c r="B204" s="12">
        <v>9.0499999999999997E-2</v>
      </c>
      <c r="C204" s="12"/>
      <c r="D204" s="12"/>
      <c r="E204" s="12"/>
      <c r="F204" s="12"/>
      <c r="G204" s="25"/>
      <c r="H204" s="24" t="s">
        <v>345</v>
      </c>
      <c r="I204" s="12"/>
      <c r="J204" s="12">
        <v>42</v>
      </c>
      <c r="K204" s="12"/>
      <c r="L204" s="25"/>
      <c r="M204" s="24"/>
      <c r="N204" s="12"/>
      <c r="O204" s="12"/>
      <c r="P204" s="12"/>
      <c r="Q204" s="25"/>
    </row>
    <row r="205" spans="1:19" x14ac:dyDescent="0.35">
      <c r="A205" s="152" t="s">
        <v>273</v>
      </c>
      <c r="B205" s="12" t="s">
        <v>335</v>
      </c>
      <c r="C205" s="12"/>
      <c r="D205" s="12" t="s">
        <v>266</v>
      </c>
      <c r="E205" s="12">
        <v>0.1</v>
      </c>
      <c r="F205" s="12" t="s">
        <v>267</v>
      </c>
      <c r="G205" s="25">
        <v>628</v>
      </c>
      <c r="H205" s="24"/>
      <c r="I205" s="12"/>
      <c r="J205" s="12"/>
      <c r="K205" s="12"/>
      <c r="L205" s="25"/>
      <c r="M205" s="24"/>
      <c r="N205" s="12"/>
      <c r="O205" s="12"/>
      <c r="P205" s="12"/>
      <c r="Q205" s="25"/>
    </row>
    <row r="206" spans="1:19" x14ac:dyDescent="0.35">
      <c r="A206" s="24"/>
      <c r="B206" s="12"/>
      <c r="C206" s="12"/>
      <c r="D206" s="12"/>
      <c r="E206" s="12"/>
      <c r="F206" s="12"/>
      <c r="G206" s="25"/>
      <c r="H206" s="24"/>
      <c r="I206" s="12"/>
      <c r="J206" s="12"/>
      <c r="K206" s="12"/>
      <c r="L206" s="25"/>
      <c r="M206" s="24"/>
      <c r="N206" s="12"/>
      <c r="O206" s="12"/>
      <c r="P206" s="12"/>
      <c r="Q206" s="25"/>
    </row>
    <row r="207" spans="1:19" x14ac:dyDescent="0.35">
      <c r="A207" s="24" t="s">
        <v>354</v>
      </c>
      <c r="B207" s="12"/>
      <c r="C207" s="12"/>
      <c r="D207" s="12">
        <f>10^(B202+B203*LOG10(E205)+B204*(LOG10(E205))^2)</f>
        <v>1859.5163444624698</v>
      </c>
      <c r="E207" s="12"/>
      <c r="F207" s="12"/>
      <c r="G207" s="25"/>
      <c r="H207" s="24"/>
      <c r="I207" s="12"/>
      <c r="J207" s="12"/>
      <c r="K207" s="12"/>
      <c r="L207" s="25"/>
      <c r="M207" s="24"/>
      <c r="N207" s="12"/>
      <c r="O207" s="12"/>
      <c r="P207" s="12"/>
      <c r="Q207" s="25"/>
    </row>
    <row r="208" spans="1:19" x14ac:dyDescent="0.35">
      <c r="A208" s="24"/>
      <c r="B208" s="12"/>
      <c r="C208" s="12"/>
      <c r="D208" s="12"/>
      <c r="E208" s="12"/>
      <c r="F208" s="12"/>
      <c r="G208" s="25"/>
      <c r="H208" s="24"/>
      <c r="I208" s="12"/>
      <c r="J208" s="12"/>
      <c r="K208" s="12"/>
      <c r="L208" s="25"/>
      <c r="M208" s="24"/>
      <c r="N208" s="12"/>
      <c r="O208" s="12"/>
      <c r="P208" s="12"/>
      <c r="Q208" s="25"/>
    </row>
    <row r="209" spans="1:17" x14ac:dyDescent="0.35">
      <c r="A209" s="24" t="s">
        <v>340</v>
      </c>
      <c r="B209" s="12"/>
      <c r="C209" s="12"/>
      <c r="D209" s="12"/>
      <c r="E209" s="12"/>
      <c r="F209" s="12"/>
      <c r="G209" s="25"/>
      <c r="H209" s="24" t="s">
        <v>355</v>
      </c>
      <c r="I209" s="142">
        <f>(((J204+1)*J202)/(2*(850-0.6*(J204+1)))+0.00315)/0.0063</f>
        <v>6.710928923862677</v>
      </c>
      <c r="J209" s="12"/>
      <c r="K209" s="12"/>
      <c r="L209" s="25"/>
      <c r="M209" s="24"/>
      <c r="N209" s="12"/>
      <c r="O209" s="12"/>
      <c r="P209" s="12"/>
      <c r="Q209" s="25"/>
    </row>
    <row r="210" spans="1:17" x14ac:dyDescent="0.35">
      <c r="A210" s="24"/>
      <c r="B210" s="12"/>
      <c r="C210" s="12" t="s">
        <v>351</v>
      </c>
      <c r="D210" s="12" t="s">
        <v>352</v>
      </c>
      <c r="E210" s="12" t="s">
        <v>353</v>
      </c>
      <c r="F210" s="12"/>
      <c r="G210" s="25"/>
      <c r="H210" s="24"/>
      <c r="I210" s="12"/>
      <c r="J210" s="12"/>
      <c r="K210" s="12"/>
      <c r="L210" s="25"/>
      <c r="M210" s="24"/>
      <c r="N210" s="12"/>
      <c r="O210" s="12"/>
      <c r="P210" s="12"/>
      <c r="Q210" s="25"/>
    </row>
    <row r="211" spans="1:17" x14ac:dyDescent="0.35">
      <c r="A211" s="24" t="s">
        <v>336</v>
      </c>
      <c r="B211" s="12"/>
      <c r="C211" s="12">
        <v>2.24777</v>
      </c>
      <c r="D211" s="12">
        <v>3.4563499999999997E-2</v>
      </c>
      <c r="E211" s="12">
        <f>C211+D211</f>
        <v>2.2823335</v>
      </c>
      <c r="F211" s="12"/>
      <c r="G211" s="25"/>
      <c r="H211" s="24"/>
      <c r="I211" s="12"/>
      <c r="J211" s="12"/>
      <c r="K211" s="12"/>
      <c r="L211" s="25"/>
      <c r="M211" s="24"/>
      <c r="N211" s="12"/>
      <c r="O211" s="12"/>
      <c r="P211" s="12"/>
      <c r="Q211" s="25"/>
    </row>
    <row r="212" spans="1:17" x14ac:dyDescent="0.35">
      <c r="A212" s="24" t="s">
        <v>337</v>
      </c>
      <c r="B212" s="12"/>
      <c r="C212" s="12">
        <v>6.3016800000000002</v>
      </c>
      <c r="D212" s="12"/>
      <c r="E212" s="12"/>
      <c r="F212" s="12"/>
      <c r="G212" s="25"/>
      <c r="H212" s="24"/>
      <c r="I212" s="12"/>
      <c r="J212" s="12"/>
      <c r="K212" s="12"/>
      <c r="L212" s="25"/>
      <c r="M212" s="24"/>
      <c r="N212" s="12"/>
      <c r="O212" s="12"/>
      <c r="P212" s="12"/>
      <c r="Q212" s="25"/>
    </row>
    <row r="213" spans="1:17" x14ac:dyDescent="0.35">
      <c r="A213" s="24" t="s">
        <v>338</v>
      </c>
      <c r="B213" s="12"/>
      <c r="C213" s="12">
        <f>AVERAGE(E211,C212)</f>
        <v>4.2920067500000005</v>
      </c>
      <c r="D213" s="12"/>
      <c r="E213" s="12"/>
      <c r="F213" s="12"/>
      <c r="G213" s="25"/>
      <c r="H213" s="24"/>
      <c r="I213" s="12"/>
      <c r="J213" s="12"/>
      <c r="K213" s="12"/>
      <c r="L213" s="25"/>
      <c r="M213" s="24"/>
      <c r="N213" s="12"/>
      <c r="O213" s="12"/>
      <c r="P213" s="12"/>
      <c r="Q213" s="25"/>
    </row>
    <row r="214" spans="1:17" x14ac:dyDescent="0.35">
      <c r="A214" s="24" t="s">
        <v>339</v>
      </c>
      <c r="B214" s="12">
        <v>0.5</v>
      </c>
      <c r="C214" s="12" t="s">
        <v>341</v>
      </c>
      <c r="D214" s="12"/>
      <c r="E214" s="12"/>
      <c r="F214" s="12"/>
      <c r="G214" s="25"/>
      <c r="H214" s="24"/>
      <c r="I214" s="12"/>
      <c r="J214" s="12"/>
      <c r="K214" s="12"/>
      <c r="L214" s="25"/>
      <c r="M214" s="24"/>
      <c r="N214" s="12"/>
      <c r="O214" s="12"/>
      <c r="P214" s="12"/>
      <c r="Q214" s="25"/>
    </row>
    <row r="215" spans="1:17" x14ac:dyDescent="0.35">
      <c r="A215" s="24" t="s">
        <v>342</v>
      </c>
      <c r="B215" s="12">
        <f>C213*B214</f>
        <v>2.1460033750000003</v>
      </c>
      <c r="C215" s="12"/>
      <c r="D215" s="12"/>
      <c r="E215" s="12"/>
      <c r="F215" s="12"/>
      <c r="G215" s="25"/>
      <c r="H215" s="24"/>
      <c r="I215" s="12"/>
      <c r="J215" s="12"/>
      <c r="K215" s="12"/>
      <c r="L215" s="25"/>
      <c r="M215" s="24"/>
      <c r="N215" s="12"/>
      <c r="O215" s="12"/>
      <c r="P215" s="12"/>
      <c r="Q215" s="25"/>
    </row>
    <row r="216" spans="1:17" x14ac:dyDescent="0.35">
      <c r="A216" s="24" t="s">
        <v>279</v>
      </c>
      <c r="B216" s="12">
        <f>B215</f>
        <v>2.1460033750000003</v>
      </c>
      <c r="C216" s="12"/>
      <c r="D216" s="12"/>
      <c r="E216" s="12"/>
      <c r="F216" s="12"/>
      <c r="G216" s="25"/>
      <c r="H216" s="24"/>
      <c r="I216" s="12"/>
      <c r="J216" s="12"/>
      <c r="K216" s="12"/>
      <c r="L216" s="25"/>
      <c r="M216" s="24"/>
      <c r="N216" s="12"/>
      <c r="O216" s="12"/>
      <c r="P216" s="12"/>
      <c r="Q216" s="25"/>
    </row>
    <row r="217" spans="1:17" x14ac:dyDescent="0.35">
      <c r="A217" s="24" t="s">
        <v>278</v>
      </c>
      <c r="B217" s="12">
        <v>0.6</v>
      </c>
      <c r="C217" s="12"/>
      <c r="D217" s="12"/>
      <c r="E217" s="12"/>
      <c r="F217" s="12"/>
      <c r="G217" s="25"/>
      <c r="H217" s="24"/>
      <c r="I217" s="12"/>
      <c r="J217" s="12"/>
      <c r="K217" s="12"/>
      <c r="L217" s="25"/>
      <c r="M217" s="24"/>
      <c r="N217" s="12"/>
      <c r="O217" s="12"/>
      <c r="P217" s="12"/>
      <c r="Q217" s="25"/>
    </row>
    <row r="218" spans="1:17" x14ac:dyDescent="0.35">
      <c r="A218" s="24" t="s">
        <v>277</v>
      </c>
      <c r="B218" s="142">
        <f>D207*(B216/E205)^B217</f>
        <v>11705.183875834027</v>
      </c>
      <c r="C218" s="12" t="s">
        <v>287</v>
      </c>
      <c r="D218" s="12"/>
      <c r="E218" s="12"/>
      <c r="F218" s="12"/>
      <c r="G218" s="25"/>
      <c r="H218" s="24"/>
      <c r="I218" s="12"/>
      <c r="J218" s="12"/>
      <c r="K218" s="12"/>
      <c r="L218" s="25"/>
      <c r="M218" s="24"/>
      <c r="N218" s="12"/>
      <c r="O218" s="12"/>
      <c r="P218" s="12"/>
      <c r="Q218" s="25"/>
    </row>
    <row r="219" spans="1:17" ht="15" thickBot="1" x14ac:dyDescent="0.4">
      <c r="A219" s="26"/>
      <c r="B219" s="29"/>
      <c r="C219" s="29"/>
      <c r="D219" s="29"/>
      <c r="E219" s="29"/>
      <c r="F219" s="29"/>
      <c r="G219" s="27"/>
      <c r="H219" s="26"/>
      <c r="I219" s="29"/>
      <c r="J219" s="29"/>
      <c r="K219" s="29"/>
      <c r="L219" s="27"/>
      <c r="M219" s="26"/>
      <c r="N219" s="29"/>
      <c r="O219" s="29"/>
      <c r="P219" s="29"/>
      <c r="Q219" s="27"/>
    </row>
    <row r="220" spans="1:17" ht="21.5" thickBot="1" x14ac:dyDescent="0.55000000000000004">
      <c r="A220" s="156" t="s">
        <v>38</v>
      </c>
    </row>
    <row r="221" spans="1:17" ht="15" thickBot="1" x14ac:dyDescent="0.4">
      <c r="A221" s="54" t="s">
        <v>272</v>
      </c>
      <c r="H221" s="54" t="s">
        <v>280</v>
      </c>
      <c r="M221" s="54" t="s">
        <v>286</v>
      </c>
    </row>
    <row r="222" spans="1:17" x14ac:dyDescent="0.35">
      <c r="A222" s="22" t="s">
        <v>327</v>
      </c>
      <c r="B222" s="28" t="s">
        <v>328</v>
      </c>
      <c r="C222" s="28"/>
      <c r="D222" s="28"/>
      <c r="E222" s="28"/>
      <c r="F222" s="28"/>
      <c r="G222" s="23"/>
      <c r="H222" s="22" t="s">
        <v>281</v>
      </c>
      <c r="I222" s="28">
        <v>0</v>
      </c>
      <c r="J222" s="28"/>
      <c r="K222" s="28"/>
      <c r="L222" s="23"/>
      <c r="M222" s="22" t="s">
        <v>330</v>
      </c>
      <c r="N222" s="28"/>
      <c r="O222" s="28"/>
      <c r="P222" s="28"/>
      <c r="Q222" s="23"/>
    </row>
    <row r="223" spans="1:17" x14ac:dyDescent="0.35">
      <c r="A223" s="24" t="s">
        <v>269</v>
      </c>
      <c r="B223" s="12">
        <v>2.7050999999999998</v>
      </c>
      <c r="C223" s="12"/>
      <c r="D223" s="12"/>
      <c r="E223" s="12"/>
      <c r="F223" s="12"/>
      <c r="G223" s="25"/>
      <c r="H223" s="24" t="s">
        <v>282</v>
      </c>
      <c r="I223" s="12">
        <v>0</v>
      </c>
      <c r="J223" s="12"/>
      <c r="K223" s="12"/>
      <c r="L223" s="25"/>
      <c r="M223" s="24" t="s">
        <v>357</v>
      </c>
      <c r="N223" s="12">
        <f>task1!M24</f>
        <v>1098.1500000000001</v>
      </c>
      <c r="O223" s="12"/>
      <c r="P223" s="12"/>
      <c r="Q223" s="25"/>
    </row>
    <row r="224" spans="1:17" x14ac:dyDescent="0.35">
      <c r="A224" s="24" t="s">
        <v>270</v>
      </c>
      <c r="B224" s="12">
        <v>1.4398</v>
      </c>
      <c r="C224" s="12"/>
      <c r="D224" s="12"/>
      <c r="E224" s="12"/>
      <c r="F224" s="12"/>
      <c r="G224" s="25"/>
      <c r="H224" s="24" t="s">
        <v>283</v>
      </c>
      <c r="I224" s="12">
        <v>0</v>
      </c>
      <c r="J224" s="12"/>
      <c r="K224" s="12"/>
      <c r="L224" s="25"/>
      <c r="M224" s="24" t="s">
        <v>331</v>
      </c>
      <c r="N224" s="12"/>
      <c r="O224" s="12"/>
      <c r="P224" s="12"/>
      <c r="Q224" s="25"/>
    </row>
    <row r="225" spans="1:19" x14ac:dyDescent="0.35">
      <c r="A225" s="24" t="s">
        <v>271</v>
      </c>
      <c r="B225" s="12">
        <v>-0.17760000000000001</v>
      </c>
      <c r="C225" s="12"/>
      <c r="D225" s="12"/>
      <c r="E225" s="12"/>
      <c r="F225" s="12"/>
      <c r="G225" s="25"/>
      <c r="H225" s="24" t="s">
        <v>329</v>
      </c>
      <c r="I225" s="12">
        <v>72</v>
      </c>
      <c r="J225" s="12"/>
      <c r="K225" s="12"/>
      <c r="L225" s="25"/>
      <c r="M225" s="24" t="s">
        <v>289</v>
      </c>
      <c r="N225" s="142">
        <v>6.1</v>
      </c>
      <c r="O225" s="12"/>
      <c r="P225" s="12"/>
      <c r="Q225" s="25"/>
    </row>
    <row r="226" spans="1:19" x14ac:dyDescent="0.35">
      <c r="A226" s="24" t="s">
        <v>273</v>
      </c>
      <c r="B226" s="12" t="s">
        <v>265</v>
      </c>
      <c r="C226" s="12"/>
      <c r="D226" s="12" t="s">
        <v>266</v>
      </c>
      <c r="E226" s="12">
        <v>100</v>
      </c>
      <c r="F226" s="12" t="s">
        <v>267</v>
      </c>
      <c r="G226" s="25">
        <v>1500</v>
      </c>
      <c r="H226" s="24" t="s">
        <v>332</v>
      </c>
      <c r="I226" s="12"/>
      <c r="J226" s="12"/>
      <c r="K226" s="12"/>
      <c r="L226" s="158">
        <v>1</v>
      </c>
      <c r="M226" s="24"/>
      <c r="N226" s="12"/>
      <c r="O226" s="12"/>
      <c r="P226" s="12"/>
      <c r="Q226" s="25"/>
    </row>
    <row r="227" spans="1:19" x14ac:dyDescent="0.35">
      <c r="A227" s="24"/>
      <c r="B227" s="12"/>
      <c r="C227" s="12"/>
      <c r="D227" s="12"/>
      <c r="E227" s="12"/>
      <c r="F227" s="12"/>
      <c r="G227" s="25"/>
      <c r="H227" s="24"/>
      <c r="I227" s="12"/>
      <c r="J227" s="12"/>
      <c r="K227" s="12"/>
      <c r="L227" s="25"/>
      <c r="M227" s="24"/>
      <c r="N227" s="12"/>
      <c r="O227" s="12"/>
      <c r="P227" s="12"/>
      <c r="Q227" s="25"/>
    </row>
    <row r="228" spans="1:19" x14ac:dyDescent="0.35">
      <c r="A228" s="24" t="s">
        <v>276</v>
      </c>
      <c r="B228" s="12"/>
      <c r="C228" s="12"/>
      <c r="D228" s="12">
        <v>306539.40139335598</v>
      </c>
      <c r="E228" s="12"/>
      <c r="F228" s="12"/>
      <c r="G228" s="25"/>
      <c r="H228" s="24"/>
      <c r="I228" s="12"/>
      <c r="J228" s="12"/>
      <c r="K228" s="12"/>
      <c r="L228" s="25"/>
      <c r="M228" s="24"/>
      <c r="N228" s="12"/>
      <c r="O228" s="12"/>
      <c r="P228" s="12"/>
      <c r="Q228" s="25"/>
    </row>
    <row r="229" spans="1:19" x14ac:dyDescent="0.35">
      <c r="A229" s="24" t="s">
        <v>274</v>
      </c>
      <c r="B229" s="12"/>
      <c r="C229" s="12"/>
      <c r="D229" s="12"/>
      <c r="E229" s="12"/>
      <c r="F229" s="12"/>
      <c r="G229" s="25"/>
      <c r="H229" s="24"/>
      <c r="I229" s="12"/>
      <c r="J229" s="12"/>
      <c r="K229" s="12"/>
      <c r="L229" s="25"/>
      <c r="M229" s="24"/>
      <c r="N229" s="12"/>
      <c r="O229" s="12"/>
      <c r="P229" s="12"/>
      <c r="Q229" s="25"/>
    </row>
    <row r="230" spans="1:19" x14ac:dyDescent="0.35">
      <c r="A230" s="24" t="s">
        <v>278</v>
      </c>
      <c r="B230" s="12">
        <v>0.6</v>
      </c>
      <c r="C230" s="12"/>
      <c r="D230" s="12"/>
      <c r="E230" s="12"/>
      <c r="F230" s="12"/>
      <c r="G230" s="25"/>
      <c r="H230" s="24"/>
      <c r="I230" s="12"/>
      <c r="J230" s="12"/>
      <c r="K230" s="12"/>
      <c r="L230" s="25"/>
      <c r="M230" s="24"/>
      <c r="N230" s="12"/>
      <c r="O230" s="12"/>
      <c r="P230" s="12"/>
      <c r="Q230" s="25"/>
    </row>
    <row r="231" spans="1:19" x14ac:dyDescent="0.35">
      <c r="A231" s="24" t="s">
        <v>279</v>
      </c>
      <c r="B231" s="12">
        <f>task2!$H$56</f>
        <v>53862.6</v>
      </c>
      <c r="C231" s="12"/>
      <c r="D231" s="12"/>
      <c r="E231" s="12"/>
      <c r="F231" s="12"/>
      <c r="G231" s="25"/>
      <c r="H231" s="24"/>
      <c r="I231" s="12"/>
      <c r="J231" s="12"/>
      <c r="K231" s="12"/>
      <c r="L231" s="25"/>
      <c r="M231" s="24"/>
      <c r="N231" s="12"/>
      <c r="O231" s="12"/>
      <c r="P231" s="12"/>
      <c r="Q231" s="25"/>
    </row>
    <row r="232" spans="1:19" x14ac:dyDescent="0.35">
      <c r="A232" s="24" t="s">
        <v>277</v>
      </c>
      <c r="B232" s="142">
        <f>D228*(B231/G226)^B230</f>
        <v>2627870.3666546792</v>
      </c>
      <c r="C232" s="12" t="s">
        <v>287</v>
      </c>
      <c r="D232" s="12"/>
      <c r="E232" s="12"/>
      <c r="F232" s="12"/>
      <c r="G232" s="25"/>
      <c r="H232" s="24"/>
      <c r="I232" s="12"/>
      <c r="J232" s="12"/>
      <c r="K232" s="12"/>
      <c r="L232" s="25"/>
      <c r="M232" s="24"/>
      <c r="N232" s="12"/>
      <c r="O232" s="12"/>
      <c r="P232" s="12"/>
      <c r="Q232" s="25"/>
    </row>
    <row r="233" spans="1:19" x14ac:dyDescent="0.35">
      <c r="A233" s="24"/>
      <c r="B233" s="12"/>
      <c r="C233" s="12"/>
      <c r="D233" s="12"/>
      <c r="E233" s="12"/>
      <c r="F233" s="12"/>
      <c r="G233" s="25"/>
      <c r="H233" s="24"/>
      <c r="I233" s="12"/>
      <c r="J233" s="12"/>
      <c r="K233" s="12"/>
      <c r="L233" s="25"/>
      <c r="M233" s="24"/>
      <c r="N233" s="12"/>
      <c r="O233" s="12"/>
      <c r="P233" s="12"/>
      <c r="Q233" s="25"/>
    </row>
    <row r="234" spans="1:19" ht="15" thickBot="1" x14ac:dyDescent="0.4">
      <c r="A234" s="26"/>
      <c r="B234" s="29"/>
      <c r="C234" s="29"/>
      <c r="D234" s="29"/>
      <c r="E234" s="29"/>
      <c r="F234" s="29"/>
      <c r="G234" s="27"/>
      <c r="H234" s="26"/>
      <c r="I234" s="29"/>
      <c r="J234" s="29"/>
      <c r="K234" s="29"/>
      <c r="L234" s="27"/>
      <c r="M234" s="26"/>
      <c r="N234" s="29"/>
      <c r="O234" s="29"/>
      <c r="P234" s="29"/>
      <c r="Q234" s="27"/>
    </row>
    <row r="235" spans="1:19" ht="21.5" thickBot="1" x14ac:dyDescent="0.55000000000000004">
      <c r="A235" s="156" t="s">
        <v>65</v>
      </c>
    </row>
    <row r="236" spans="1:19" ht="15" thickBot="1" x14ac:dyDescent="0.4">
      <c r="A236" s="54" t="s">
        <v>272</v>
      </c>
      <c r="H236" s="54" t="s">
        <v>280</v>
      </c>
      <c r="M236" s="54" t="s">
        <v>286</v>
      </c>
      <c r="R236" s="3" t="s">
        <v>349</v>
      </c>
      <c r="S236" s="3" t="s">
        <v>350</v>
      </c>
    </row>
    <row r="237" spans="1:19" x14ac:dyDescent="0.35">
      <c r="A237" s="22" t="s">
        <v>327</v>
      </c>
      <c r="B237" s="28" t="s">
        <v>334</v>
      </c>
      <c r="C237" s="28"/>
      <c r="D237" s="28"/>
      <c r="E237" s="28"/>
      <c r="F237" s="28"/>
      <c r="G237" s="23"/>
      <c r="H237" s="22" t="s">
        <v>347</v>
      </c>
      <c r="I237" s="28"/>
      <c r="J237" s="28"/>
      <c r="K237" s="28"/>
      <c r="L237" s="23"/>
      <c r="M237" s="22" t="s">
        <v>346</v>
      </c>
      <c r="N237" s="28"/>
      <c r="O237" s="28"/>
      <c r="P237" s="28"/>
      <c r="Q237" s="23"/>
      <c r="R237" s="169">
        <v>1.49</v>
      </c>
      <c r="S237" s="170">
        <v>1.52</v>
      </c>
    </row>
    <row r="238" spans="1:19" ht="15" thickBot="1" x14ac:dyDescent="0.4">
      <c r="A238" s="24" t="s">
        <v>269</v>
      </c>
      <c r="B238" s="12">
        <v>3.5565000000000002</v>
      </c>
      <c r="C238" s="12"/>
      <c r="D238" s="12"/>
      <c r="E238" s="12"/>
      <c r="F238" s="12"/>
      <c r="G238" s="25"/>
      <c r="H238" s="24" t="s">
        <v>343</v>
      </c>
      <c r="I238" s="12"/>
      <c r="J238" s="12">
        <v>2.5</v>
      </c>
      <c r="K238" s="12"/>
      <c r="L238" s="25"/>
      <c r="M238" s="24" t="s">
        <v>289</v>
      </c>
      <c r="N238" s="142">
        <v>3.1</v>
      </c>
      <c r="O238" s="12"/>
      <c r="P238" s="12"/>
      <c r="Q238" s="25"/>
      <c r="R238" s="26"/>
      <c r="S238" s="27"/>
    </row>
    <row r="239" spans="1:19" x14ac:dyDescent="0.35">
      <c r="A239" s="24" t="s">
        <v>270</v>
      </c>
      <c r="B239" s="12">
        <v>0.37759999999999999</v>
      </c>
      <c r="C239" s="12"/>
      <c r="D239" s="12"/>
      <c r="E239" s="12"/>
      <c r="F239" s="12"/>
      <c r="G239" s="25"/>
      <c r="H239" s="24" t="s">
        <v>344</v>
      </c>
      <c r="I239" s="12"/>
      <c r="J239" s="12">
        <f>B251/(3.14*(J238/2)^2)</f>
        <v>2.5664496968152872</v>
      </c>
      <c r="K239" s="12"/>
      <c r="L239" s="25"/>
      <c r="M239" s="24"/>
      <c r="N239" s="12"/>
      <c r="O239" s="12"/>
      <c r="P239" s="12"/>
      <c r="Q239" s="25"/>
    </row>
    <row r="240" spans="1:19" x14ac:dyDescent="0.35">
      <c r="A240" s="24" t="s">
        <v>271</v>
      </c>
      <c r="B240" s="12">
        <v>9.0499999999999997E-2</v>
      </c>
      <c r="C240" s="12"/>
      <c r="D240" s="12"/>
      <c r="E240" s="12"/>
      <c r="F240" s="12"/>
      <c r="G240" s="25"/>
      <c r="H240" s="24" t="s">
        <v>345</v>
      </c>
      <c r="I240" s="12"/>
      <c r="J240" s="12">
        <v>11</v>
      </c>
      <c r="K240" s="12"/>
      <c r="L240" s="25"/>
      <c r="M240" s="24"/>
      <c r="N240" s="12"/>
      <c r="O240" s="12"/>
      <c r="P240" s="12"/>
      <c r="Q240" s="25"/>
    </row>
    <row r="241" spans="1:17" x14ac:dyDescent="0.35">
      <c r="A241" s="24" t="s">
        <v>273</v>
      </c>
      <c r="B241" s="12" t="s">
        <v>335</v>
      </c>
      <c r="C241" s="12"/>
      <c r="D241" s="12" t="s">
        <v>266</v>
      </c>
      <c r="E241" s="12">
        <v>0.1</v>
      </c>
      <c r="F241" s="12" t="s">
        <v>267</v>
      </c>
      <c r="G241" s="25">
        <v>628</v>
      </c>
      <c r="H241" s="24"/>
      <c r="I241" s="12"/>
      <c r="J241" s="12"/>
      <c r="K241" s="12"/>
      <c r="L241" s="25"/>
      <c r="M241" s="24"/>
      <c r="N241" s="12"/>
      <c r="O241" s="12"/>
      <c r="P241" s="12"/>
      <c r="Q241" s="25"/>
    </row>
    <row r="242" spans="1:17" x14ac:dyDescent="0.35">
      <c r="A242" s="24"/>
      <c r="B242" s="12"/>
      <c r="C242" s="12"/>
      <c r="D242" s="12"/>
      <c r="E242" s="12"/>
      <c r="F242" s="12"/>
      <c r="G242" s="25"/>
      <c r="H242" s="24"/>
      <c r="I242" s="12"/>
      <c r="J242" s="12"/>
      <c r="K242" s="12"/>
      <c r="L242" s="25"/>
      <c r="M242" s="24"/>
      <c r="N242" s="12"/>
      <c r="O242" s="12"/>
      <c r="P242" s="12"/>
      <c r="Q242" s="25"/>
    </row>
    <row r="243" spans="1:17" x14ac:dyDescent="0.35">
      <c r="A243" s="24" t="s">
        <v>354</v>
      </c>
      <c r="B243" s="12"/>
      <c r="C243" s="12"/>
      <c r="D243" s="12">
        <v>1859.5163444624698</v>
      </c>
      <c r="E243" s="12"/>
      <c r="F243" s="12"/>
      <c r="G243" s="25"/>
      <c r="H243" s="24"/>
      <c r="I243" s="12"/>
      <c r="J243" s="12"/>
      <c r="K243" s="12"/>
      <c r="L243" s="25"/>
      <c r="M243" s="24"/>
      <c r="N243" s="12"/>
      <c r="O243" s="12"/>
      <c r="P243" s="12"/>
      <c r="Q243" s="25"/>
    </row>
    <row r="244" spans="1:17" x14ac:dyDescent="0.35">
      <c r="A244" s="24"/>
      <c r="B244" s="12"/>
      <c r="C244" s="12"/>
      <c r="D244" s="12"/>
      <c r="E244" s="12"/>
      <c r="F244" s="12"/>
      <c r="G244" s="25"/>
      <c r="H244" s="24"/>
      <c r="I244" s="12"/>
      <c r="J244" s="12"/>
      <c r="K244" s="12"/>
      <c r="L244" s="25"/>
      <c r="M244" s="24"/>
      <c r="N244" s="12"/>
      <c r="O244" s="12"/>
      <c r="P244" s="12"/>
      <c r="Q244" s="25"/>
    </row>
    <row r="245" spans="1:17" x14ac:dyDescent="0.35">
      <c r="A245" s="24" t="s">
        <v>340</v>
      </c>
      <c r="B245" s="12"/>
      <c r="C245" s="12"/>
      <c r="D245" s="12"/>
      <c r="E245" s="12"/>
      <c r="F245" s="12"/>
      <c r="G245" s="25"/>
      <c r="H245" s="24" t="s">
        <v>355</v>
      </c>
      <c r="I245" s="142">
        <f>(((J240+1)*J238)/(2*(850-0.6*(J240+1)))+0.00315)/0.0063</f>
        <v>3.3250502858950894</v>
      </c>
      <c r="J245" s="12"/>
      <c r="K245" s="12"/>
      <c r="L245" s="25"/>
      <c r="M245" s="24"/>
      <c r="N245" s="12"/>
      <c r="O245" s="12"/>
      <c r="P245" s="12"/>
      <c r="Q245" s="25"/>
    </row>
    <row r="246" spans="1:17" x14ac:dyDescent="0.35">
      <c r="A246" s="24"/>
      <c r="B246" s="12"/>
      <c r="C246" s="12" t="s">
        <v>351</v>
      </c>
      <c r="D246" s="12" t="s">
        <v>352</v>
      </c>
      <c r="E246" s="12" t="s">
        <v>353</v>
      </c>
      <c r="F246" s="12"/>
      <c r="G246" s="25"/>
      <c r="H246" s="24"/>
      <c r="I246" s="12"/>
      <c r="J246" s="12"/>
      <c r="K246" s="12"/>
      <c r="L246" s="25"/>
      <c r="M246" s="24"/>
      <c r="N246" s="12"/>
      <c r="O246" s="12"/>
      <c r="P246" s="12"/>
      <c r="Q246" s="25"/>
    </row>
    <row r="247" spans="1:17" x14ac:dyDescent="0.35">
      <c r="A247" s="24" t="s">
        <v>336</v>
      </c>
      <c r="B247" s="12"/>
      <c r="C247" s="12">
        <v>17.8643</v>
      </c>
      <c r="D247" s="12">
        <v>3.5775300000000003E-2</v>
      </c>
      <c r="E247" s="12">
        <f>C247+D247</f>
        <v>17.900075300000001</v>
      </c>
      <c r="F247" s="12"/>
      <c r="G247" s="25"/>
      <c r="H247" s="24"/>
      <c r="I247" s="12"/>
      <c r="J247" s="12"/>
      <c r="K247" s="12"/>
      <c r="L247" s="25"/>
      <c r="M247" s="24"/>
      <c r="N247" s="12"/>
      <c r="O247" s="12"/>
      <c r="P247" s="12"/>
      <c r="Q247" s="25"/>
    </row>
    <row r="248" spans="1:17" x14ac:dyDescent="0.35">
      <c r="A248" s="24" t="s">
        <v>337</v>
      </c>
      <c r="B248" s="12"/>
      <c r="C248" s="12">
        <v>32.466500000000003</v>
      </c>
      <c r="D248" s="12"/>
      <c r="E248" s="12"/>
      <c r="F248" s="12"/>
      <c r="G248" s="25"/>
      <c r="H248" s="24"/>
      <c r="I248" s="12"/>
      <c r="J248" s="12"/>
      <c r="K248" s="12"/>
      <c r="L248" s="25"/>
      <c r="M248" s="24"/>
      <c r="N248" s="12"/>
      <c r="O248" s="12"/>
      <c r="P248" s="12"/>
      <c r="Q248" s="25"/>
    </row>
    <row r="249" spans="1:17" x14ac:dyDescent="0.35">
      <c r="A249" s="24" t="s">
        <v>338</v>
      </c>
      <c r="B249" s="12"/>
      <c r="C249" s="12">
        <f>AVERAGE(E247,C248)</f>
        <v>25.183287650000004</v>
      </c>
      <c r="D249" s="12"/>
      <c r="E249" s="12"/>
      <c r="F249" s="12"/>
      <c r="G249" s="25"/>
      <c r="H249" s="24"/>
      <c r="I249" s="12"/>
      <c r="J249" s="12"/>
      <c r="K249" s="12"/>
      <c r="L249" s="25"/>
      <c r="M249" s="24"/>
      <c r="N249" s="12"/>
      <c r="O249" s="12"/>
      <c r="P249" s="12"/>
      <c r="Q249" s="25"/>
    </row>
    <row r="250" spans="1:17" x14ac:dyDescent="0.35">
      <c r="A250" s="24" t="s">
        <v>339</v>
      </c>
      <c r="B250" s="12">
        <v>0.5</v>
      </c>
      <c r="C250" s="12" t="s">
        <v>341</v>
      </c>
      <c r="D250" s="12"/>
      <c r="E250" s="12"/>
      <c r="F250" s="12"/>
      <c r="G250" s="25"/>
      <c r="H250" s="24"/>
      <c r="I250" s="12"/>
      <c r="J250" s="12"/>
      <c r="K250" s="12"/>
      <c r="L250" s="25"/>
      <c r="M250" s="24"/>
      <c r="N250" s="12"/>
      <c r="O250" s="12"/>
      <c r="P250" s="12"/>
      <c r="Q250" s="25"/>
    </row>
    <row r="251" spans="1:17" x14ac:dyDescent="0.35">
      <c r="A251" s="24" t="s">
        <v>342</v>
      </c>
      <c r="B251" s="12">
        <f>C249*B250</f>
        <v>12.591643825000002</v>
      </c>
      <c r="C251" s="12"/>
      <c r="D251" s="12"/>
      <c r="E251" s="12"/>
      <c r="F251" s="12"/>
      <c r="G251" s="25"/>
      <c r="H251" s="24"/>
      <c r="I251" s="12"/>
      <c r="J251" s="12"/>
      <c r="K251" s="12"/>
      <c r="L251" s="25"/>
      <c r="M251" s="24"/>
      <c r="N251" s="12"/>
      <c r="O251" s="12"/>
      <c r="P251" s="12"/>
      <c r="Q251" s="25"/>
    </row>
    <row r="252" spans="1:17" x14ac:dyDescent="0.35">
      <c r="A252" s="24" t="s">
        <v>279</v>
      </c>
      <c r="B252" s="12">
        <f>B251</f>
        <v>12.591643825000002</v>
      </c>
      <c r="C252" s="12"/>
      <c r="D252" s="12"/>
      <c r="E252" s="12"/>
      <c r="F252" s="12"/>
      <c r="G252" s="25"/>
      <c r="H252" s="24"/>
      <c r="I252" s="12"/>
      <c r="J252" s="12"/>
      <c r="K252" s="12"/>
      <c r="L252" s="25"/>
      <c r="M252" s="24"/>
      <c r="N252" s="12"/>
      <c r="O252" s="12"/>
      <c r="P252" s="12"/>
      <c r="Q252" s="25"/>
    </row>
    <row r="253" spans="1:17" x14ac:dyDescent="0.35">
      <c r="A253" s="24" t="s">
        <v>278</v>
      </c>
      <c r="B253" s="12">
        <v>0.6</v>
      </c>
      <c r="C253" s="12"/>
      <c r="D253" s="12"/>
      <c r="E253" s="12"/>
      <c r="F253" s="12"/>
      <c r="G253" s="25"/>
      <c r="H253" s="24"/>
      <c r="I253" s="12"/>
      <c r="J253" s="12"/>
      <c r="K253" s="12"/>
      <c r="L253" s="25"/>
      <c r="M253" s="24"/>
      <c r="N253" s="12"/>
      <c r="O253" s="12"/>
      <c r="P253" s="12"/>
      <c r="Q253" s="25"/>
    </row>
    <row r="254" spans="1:17" x14ac:dyDescent="0.35">
      <c r="A254" s="24" t="s">
        <v>277</v>
      </c>
      <c r="B254" s="142">
        <f>D243*(B251/E241)^B253</f>
        <v>33841.488599728138</v>
      </c>
      <c r="C254" s="12" t="s">
        <v>287</v>
      </c>
      <c r="D254" s="12"/>
      <c r="E254" s="12"/>
      <c r="F254" s="12"/>
      <c r="G254" s="25"/>
      <c r="H254" s="24"/>
      <c r="I254" s="12"/>
      <c r="J254" s="12"/>
      <c r="K254" s="12"/>
      <c r="L254" s="25"/>
      <c r="M254" s="24"/>
      <c r="N254" s="12"/>
      <c r="O254" s="12"/>
      <c r="P254" s="12"/>
      <c r="Q254" s="25"/>
    </row>
    <row r="255" spans="1:17" ht="15" thickBot="1" x14ac:dyDescent="0.4">
      <c r="A255" s="26"/>
      <c r="B255" s="29"/>
      <c r="C255" s="29"/>
      <c r="D255" s="29"/>
      <c r="E255" s="29"/>
      <c r="F255" s="29"/>
      <c r="G255" s="27"/>
      <c r="H255" s="26"/>
      <c r="I255" s="29"/>
      <c r="J255" s="29"/>
      <c r="K255" s="29"/>
      <c r="L255" s="27"/>
      <c r="M255" s="26"/>
      <c r="N255" s="29"/>
      <c r="O255" s="29"/>
      <c r="P255" s="29"/>
      <c r="Q255" s="27"/>
    </row>
    <row r="257" spans="1:39" ht="15" thickBot="1" x14ac:dyDescent="0.4"/>
    <row r="258" spans="1:39" ht="26.5" thickBot="1" x14ac:dyDescent="0.65">
      <c r="A258" s="125" t="s">
        <v>384</v>
      </c>
      <c r="B258" s="1"/>
      <c r="C258" s="1"/>
      <c r="D258" s="2"/>
      <c r="E258" t="s">
        <v>388</v>
      </c>
    </row>
    <row r="260" spans="1:39" ht="15" thickBot="1" x14ac:dyDescent="0.4"/>
    <row r="261" spans="1:39" ht="26.5" thickBot="1" x14ac:dyDescent="0.65">
      <c r="B261" s="105" t="s">
        <v>167</v>
      </c>
      <c r="C261" s="8"/>
      <c r="D261" s="1"/>
      <c r="E261" s="1"/>
      <c r="F261" s="1"/>
      <c r="G261" s="1"/>
      <c r="H261" s="1" t="s">
        <v>114</v>
      </c>
      <c r="I261" s="1"/>
      <c r="J261" s="1"/>
      <c r="K261" s="1"/>
      <c r="L261" s="1"/>
      <c r="M261" s="1"/>
      <c r="N261" s="1"/>
      <c r="O261" s="2"/>
      <c r="P261" s="8"/>
      <c r="Q261" s="1" t="s">
        <v>115</v>
      </c>
      <c r="R261" s="1"/>
      <c r="S261" s="1"/>
      <c r="T261" s="1"/>
      <c r="U261" s="2"/>
      <c r="W261" s="204" t="s">
        <v>410</v>
      </c>
      <c r="AF261" s="210" t="s">
        <v>411</v>
      </c>
      <c r="AG261" s="214" t="s">
        <v>415</v>
      </c>
      <c r="AH261" s="204" t="s">
        <v>413</v>
      </c>
      <c r="AI261" s="210" t="s">
        <v>412</v>
      </c>
    </row>
    <row r="262" spans="1:39" ht="15" thickBot="1" x14ac:dyDescent="0.4">
      <c r="B262" s="59"/>
      <c r="C262" s="55">
        <v>1</v>
      </c>
      <c r="D262" s="55">
        <v>2</v>
      </c>
      <c r="E262" s="55">
        <v>3</v>
      </c>
      <c r="F262" s="55">
        <v>4</v>
      </c>
      <c r="G262" s="55">
        <v>5</v>
      </c>
      <c r="H262" s="203" t="s">
        <v>389</v>
      </c>
      <c r="I262" s="55">
        <v>6</v>
      </c>
      <c r="J262" s="56">
        <v>7</v>
      </c>
      <c r="K262" s="57">
        <v>8</v>
      </c>
      <c r="L262" s="57">
        <v>9</v>
      </c>
      <c r="M262" s="56">
        <v>10</v>
      </c>
      <c r="N262" s="58">
        <v>11</v>
      </c>
      <c r="O262" s="58">
        <v>12</v>
      </c>
      <c r="P262" s="59" t="s">
        <v>103</v>
      </c>
      <c r="Q262" s="59" t="s">
        <v>104</v>
      </c>
      <c r="R262" s="59" t="s">
        <v>105</v>
      </c>
      <c r="S262" s="59" t="s">
        <v>106</v>
      </c>
      <c r="T262" s="59" t="s">
        <v>107</v>
      </c>
      <c r="U262" s="59" t="s">
        <v>108</v>
      </c>
      <c r="W262" s="62"/>
      <c r="AF262" s="141"/>
      <c r="AG262" s="129"/>
      <c r="AH262" s="62"/>
      <c r="AI262" s="140"/>
    </row>
    <row r="263" spans="1:39" ht="15" thickBot="1" x14ac:dyDescent="0.4">
      <c r="B263" s="95" t="s">
        <v>101</v>
      </c>
      <c r="C263" s="11">
        <v>1</v>
      </c>
      <c r="D263" s="11">
        <v>-1</v>
      </c>
      <c r="E263" s="11">
        <v>0</v>
      </c>
      <c r="F263" s="11">
        <v>0</v>
      </c>
      <c r="G263" s="11">
        <v>0</v>
      </c>
      <c r="H263" s="37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63">
        <v>1</v>
      </c>
      <c r="Q263" s="63">
        <v>0</v>
      </c>
      <c r="R263" s="63">
        <v>0</v>
      </c>
      <c r="S263" s="63">
        <v>0</v>
      </c>
      <c r="T263" s="63">
        <v>0</v>
      </c>
      <c r="U263" s="63">
        <v>0</v>
      </c>
      <c r="W263" s="63">
        <f t="shared" ref="W263:W272" si="9">-AX103</f>
        <v>-5.1977419136877846E-2</v>
      </c>
      <c r="AE263" s="126">
        <v>1</v>
      </c>
      <c r="AF263" s="212">
        <v>0</v>
      </c>
      <c r="AG263" s="232">
        <f>AF263*3600</f>
        <v>0</v>
      </c>
      <c r="AH263" s="9">
        <f>AB26</f>
        <v>0.48101223149101613</v>
      </c>
      <c r="AI263" s="235">
        <f>AG263/AH263</f>
        <v>0</v>
      </c>
    </row>
    <row r="264" spans="1:39" ht="15" thickBot="1" x14ac:dyDescent="0.4">
      <c r="B264" s="95" t="s">
        <v>78</v>
      </c>
      <c r="C264" s="11">
        <v>0</v>
      </c>
      <c r="D264" s="11">
        <v>1</v>
      </c>
      <c r="E264" s="11">
        <v>-1</v>
      </c>
      <c r="F264" s="11">
        <v>0</v>
      </c>
      <c r="G264" s="11">
        <v>0</v>
      </c>
      <c r="H264" s="37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37">
        <v>0</v>
      </c>
      <c r="Q264" s="64">
        <v>-1</v>
      </c>
      <c r="R264" s="64">
        <v>0</v>
      </c>
      <c r="S264" s="64">
        <v>0</v>
      </c>
      <c r="T264" s="64">
        <v>0</v>
      </c>
      <c r="U264" s="37">
        <v>0</v>
      </c>
      <c r="W264" s="94">
        <f t="shared" si="9"/>
        <v>-2.4889977600777709E-3</v>
      </c>
      <c r="AE264" s="126">
        <v>2</v>
      </c>
      <c r="AF264" s="213">
        <v>0.92764594700000003</v>
      </c>
      <c r="AG264" s="233">
        <f t="shared" ref="AG264:AG281" si="10">AF264*3600</f>
        <v>3339.5254092</v>
      </c>
      <c r="AH264" s="42">
        <f t="shared" ref="AH264:AH275" si="11">AB27</f>
        <v>29.067048730654776</v>
      </c>
      <c r="AI264" s="236">
        <f t="shared" ref="AI264:AI281" si="12">AG264/AH264</f>
        <v>114.89041904959755</v>
      </c>
    </row>
    <row r="265" spans="1:39" ht="15" thickBot="1" x14ac:dyDescent="0.4">
      <c r="B265" s="95" t="s">
        <v>77</v>
      </c>
      <c r="C265" s="11">
        <v>0</v>
      </c>
      <c r="D265" s="11">
        <v>0</v>
      </c>
      <c r="E265" s="11">
        <v>1</v>
      </c>
      <c r="F265" s="11">
        <v>-1</v>
      </c>
      <c r="G265" s="11">
        <v>0</v>
      </c>
      <c r="H265" s="37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37">
        <v>0</v>
      </c>
      <c r="Q265" s="37">
        <v>0</v>
      </c>
      <c r="R265" s="37">
        <v>1</v>
      </c>
      <c r="S265" s="37">
        <v>0</v>
      </c>
      <c r="T265" s="37">
        <v>0</v>
      </c>
      <c r="U265" s="37">
        <v>0</v>
      </c>
      <c r="W265" s="94">
        <f t="shared" si="9"/>
        <v>-5.2745756573015508E-2</v>
      </c>
      <c r="AE265" s="126">
        <v>3</v>
      </c>
      <c r="AF265" s="213">
        <v>0.93013494500000005</v>
      </c>
      <c r="AG265" s="233">
        <f t="shared" si="10"/>
        <v>3348.4858020000001</v>
      </c>
      <c r="AH265" s="42">
        <f t="shared" si="11"/>
        <v>20.170055680396015</v>
      </c>
      <c r="AI265" s="236">
        <f t="shared" si="12"/>
        <v>166.01271979900935</v>
      </c>
    </row>
    <row r="266" spans="1:39" ht="15" thickBot="1" x14ac:dyDescent="0.4">
      <c r="B266" s="95" t="s">
        <v>102</v>
      </c>
      <c r="C266" s="11">
        <v>0</v>
      </c>
      <c r="D266" s="11">
        <v>0</v>
      </c>
      <c r="E266" s="11">
        <v>0</v>
      </c>
      <c r="F266" s="11">
        <v>1</v>
      </c>
      <c r="G266" s="11">
        <v>-1</v>
      </c>
      <c r="H266" s="37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64">
        <v>0</v>
      </c>
      <c r="Q266" s="37">
        <v>0</v>
      </c>
      <c r="R266" s="37">
        <v>0</v>
      </c>
      <c r="S266" s="66">
        <v>-1</v>
      </c>
      <c r="T266" s="37">
        <v>0</v>
      </c>
      <c r="U266" s="65">
        <v>0</v>
      </c>
      <c r="W266" s="94">
        <f t="shared" si="9"/>
        <v>-2.9384918650062573E-3</v>
      </c>
      <c r="Y266" s="12"/>
      <c r="AE266" s="126">
        <v>4</v>
      </c>
      <c r="AF266" s="213">
        <v>1.8802291149999999</v>
      </c>
      <c r="AG266" s="233">
        <f t="shared" si="10"/>
        <v>6768.8248139999996</v>
      </c>
      <c r="AH266" s="42">
        <f t="shared" si="11"/>
        <v>49.620024079831602</v>
      </c>
      <c r="AI266" s="236">
        <f t="shared" si="12"/>
        <v>136.41317068105243</v>
      </c>
    </row>
    <row r="267" spans="1:39" ht="15" thickBot="1" x14ac:dyDescent="0.4">
      <c r="B267" s="95" t="s">
        <v>312</v>
      </c>
      <c r="C267" s="11">
        <v>0</v>
      </c>
      <c r="D267" s="11">
        <v>0</v>
      </c>
      <c r="E267" s="11">
        <v>0</v>
      </c>
      <c r="F267" s="11">
        <v>0</v>
      </c>
      <c r="G267" s="11">
        <v>1</v>
      </c>
      <c r="H267" s="11">
        <v>-1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W267" s="94">
        <f t="shared" si="9"/>
        <v>-3.7331726369269347E-2</v>
      </c>
      <c r="Y267" s="12"/>
      <c r="Z267" s="12"/>
      <c r="AA267" s="12"/>
      <c r="AB267" s="12"/>
      <c r="AC267" s="12"/>
      <c r="AD267" s="12"/>
      <c r="AE267" s="126">
        <v>5</v>
      </c>
      <c r="AF267" s="213">
        <v>1.8831676070000001</v>
      </c>
      <c r="AG267" s="233">
        <f t="shared" si="10"/>
        <v>6779.4033852000002</v>
      </c>
      <c r="AH267" s="42">
        <f t="shared" si="11"/>
        <v>39.813905877634845</v>
      </c>
      <c r="AI267" s="236">
        <f t="shared" si="12"/>
        <v>170.27727462952279</v>
      </c>
    </row>
    <row r="268" spans="1:39" ht="15" thickBot="1" x14ac:dyDescent="0.4">
      <c r="B268" s="95" t="s">
        <v>36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37">
        <v>1</v>
      </c>
      <c r="I268" s="11">
        <v>-1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64">
        <v>0</v>
      </c>
      <c r="Q268" s="64">
        <v>0</v>
      </c>
      <c r="R268" s="64">
        <v>0</v>
      </c>
      <c r="S268" s="64">
        <v>0</v>
      </c>
      <c r="T268" s="64">
        <v>0</v>
      </c>
      <c r="U268" s="37">
        <v>0</v>
      </c>
      <c r="W268" s="94">
        <f t="shared" si="9"/>
        <v>-2.3723431997997829E-3</v>
      </c>
      <c r="Y268" s="12"/>
      <c r="Z268" s="22"/>
      <c r="AA268" s="28"/>
      <c r="AB268" s="28"/>
      <c r="AC268" s="28"/>
      <c r="AD268" s="23"/>
      <c r="AE268" s="126" t="s">
        <v>389</v>
      </c>
      <c r="AF268" s="213">
        <v>1.920499333</v>
      </c>
      <c r="AG268" s="233">
        <f t="shared" si="10"/>
        <v>6913.7975987999998</v>
      </c>
      <c r="AH268" s="42">
        <f t="shared" si="11"/>
        <v>39.813905877634845</v>
      </c>
      <c r="AI268" s="236">
        <f t="shared" si="12"/>
        <v>173.65283426471785</v>
      </c>
    </row>
    <row r="269" spans="1:39" ht="15" thickBot="1" x14ac:dyDescent="0.4">
      <c r="B269" s="95" t="s">
        <v>63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37">
        <v>0</v>
      </c>
      <c r="I269" s="11">
        <v>1</v>
      </c>
      <c r="J269" s="11">
        <v>1</v>
      </c>
      <c r="K269" s="11">
        <v>-1</v>
      </c>
      <c r="L269" s="11">
        <v>0</v>
      </c>
      <c r="M269" s="11">
        <v>0</v>
      </c>
      <c r="N269" s="11">
        <v>0</v>
      </c>
      <c r="O269" s="11">
        <v>0</v>
      </c>
      <c r="P269" s="64">
        <v>0</v>
      </c>
      <c r="Q269" s="64">
        <v>0</v>
      </c>
      <c r="R269" s="64">
        <v>0</v>
      </c>
      <c r="S269" s="64">
        <v>0</v>
      </c>
      <c r="T269" s="37">
        <v>0</v>
      </c>
      <c r="U269" s="65">
        <v>0</v>
      </c>
      <c r="W269" s="94">
        <f t="shared" si="9"/>
        <v>-3.0649159313868202E-3</v>
      </c>
      <c r="Y269" s="12"/>
      <c r="Z269" s="24"/>
      <c r="AA269" s="12"/>
      <c r="AB269" s="12"/>
      <c r="AC269" s="12"/>
      <c r="AD269" s="25"/>
      <c r="AE269" s="126">
        <v>6</v>
      </c>
      <c r="AF269" s="213">
        <v>1.922871676</v>
      </c>
      <c r="AG269" s="233">
        <f t="shared" si="10"/>
        <v>6922.3380336</v>
      </c>
      <c r="AH269" s="42">
        <f t="shared" si="11"/>
        <v>34.8823750552897</v>
      </c>
      <c r="AI269" s="236">
        <f t="shared" si="12"/>
        <v>198.44801343451726</v>
      </c>
    </row>
    <row r="270" spans="1:39" ht="15" thickBot="1" x14ac:dyDescent="0.4">
      <c r="B270" s="95" t="s">
        <v>37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37">
        <v>0</v>
      </c>
      <c r="I270" s="11">
        <v>0</v>
      </c>
      <c r="J270" s="11">
        <v>0</v>
      </c>
      <c r="K270" s="11">
        <v>1</v>
      </c>
      <c r="L270" s="11">
        <v>-1</v>
      </c>
      <c r="M270" s="11">
        <v>0</v>
      </c>
      <c r="N270" s="11">
        <v>0</v>
      </c>
      <c r="O270" s="11">
        <v>0</v>
      </c>
      <c r="P270" s="64">
        <v>0</v>
      </c>
      <c r="Q270" s="64">
        <v>0</v>
      </c>
      <c r="R270" s="64">
        <v>0</v>
      </c>
      <c r="S270" s="64">
        <v>0</v>
      </c>
      <c r="T270" s="37">
        <v>-1</v>
      </c>
      <c r="U270" s="65">
        <v>0</v>
      </c>
      <c r="W270" s="94">
        <f t="shared" si="9"/>
        <v>-7.9631193970225389E-2</v>
      </c>
      <c r="Y270" s="12"/>
      <c r="Z270" s="24"/>
      <c r="AA270" s="12"/>
      <c r="AB270" s="12"/>
      <c r="AC270" s="12"/>
      <c r="AD270" s="25"/>
      <c r="AE270" s="126">
        <v>7</v>
      </c>
      <c r="AF270" s="213">
        <v>0.55669252899999999</v>
      </c>
      <c r="AG270" s="233">
        <f t="shared" si="10"/>
        <v>2004.0931043999999</v>
      </c>
      <c r="AH270" s="42">
        <f t="shared" si="11"/>
        <v>64.973451103741567</v>
      </c>
      <c r="AI270" s="236">
        <f t="shared" si="12"/>
        <v>30.844799996849666</v>
      </c>
    </row>
    <row r="271" spans="1:39" ht="15" thickBot="1" x14ac:dyDescent="0.4">
      <c r="B271" s="95" t="s">
        <v>65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37">
        <v>0</v>
      </c>
      <c r="I271" s="11">
        <v>0</v>
      </c>
      <c r="J271" s="11">
        <v>0</v>
      </c>
      <c r="K271" s="11">
        <v>0</v>
      </c>
      <c r="L271" s="11">
        <v>1</v>
      </c>
      <c r="M271" s="11">
        <v>1</v>
      </c>
      <c r="N271" s="11">
        <v>-1</v>
      </c>
      <c r="O271" s="11">
        <v>0</v>
      </c>
      <c r="P271" s="64">
        <v>0</v>
      </c>
      <c r="Q271" s="64">
        <v>0</v>
      </c>
      <c r="R271" s="64">
        <v>0</v>
      </c>
      <c r="S271" s="64">
        <v>0</v>
      </c>
      <c r="T271" s="64">
        <v>0</v>
      </c>
      <c r="U271" s="37">
        <v>0</v>
      </c>
      <c r="W271" s="94">
        <f t="shared" si="9"/>
        <v>-4.5915909885558687E-3</v>
      </c>
      <c r="Y271" s="12"/>
      <c r="Z271" s="24"/>
      <c r="AA271" s="12"/>
      <c r="AB271" s="12"/>
      <c r="AC271" s="12"/>
      <c r="AD271" s="25"/>
      <c r="AE271" s="126">
        <v>8</v>
      </c>
      <c r="AF271" s="213">
        <v>2.482629121</v>
      </c>
      <c r="AG271" s="233">
        <f t="shared" si="10"/>
        <v>8937.4648355999998</v>
      </c>
      <c r="AH271" s="42">
        <f t="shared" si="11"/>
        <v>62.960698411220264</v>
      </c>
      <c r="AI271" s="236">
        <f t="shared" si="12"/>
        <v>141.95307646090612</v>
      </c>
    </row>
    <row r="272" spans="1:39" ht="15" thickBot="1" x14ac:dyDescent="0.4">
      <c r="B272" s="95" t="s">
        <v>38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37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1</v>
      </c>
      <c r="O272" s="11">
        <v>-1</v>
      </c>
      <c r="P272" s="64">
        <v>0</v>
      </c>
      <c r="Q272" s="64">
        <v>0</v>
      </c>
      <c r="R272" s="64">
        <v>0</v>
      </c>
      <c r="S272" s="64">
        <v>0</v>
      </c>
      <c r="T272" s="64">
        <v>0</v>
      </c>
      <c r="U272" s="37">
        <v>-1</v>
      </c>
      <c r="W272" s="42">
        <f t="shared" si="9"/>
        <v>-0.12676227801720133</v>
      </c>
      <c r="Y272" s="12"/>
      <c r="Z272" s="24"/>
      <c r="AA272" s="12"/>
      <c r="AB272" s="12"/>
      <c r="AC272" s="12"/>
      <c r="AD272" s="25"/>
      <c r="AE272" s="126">
        <v>9</v>
      </c>
      <c r="AF272" s="213">
        <v>1.49700595573379</v>
      </c>
      <c r="AG272" s="233">
        <f t="shared" si="10"/>
        <v>5389.2214406416442</v>
      </c>
      <c r="AH272" s="42">
        <f t="shared" si="11"/>
        <v>35.40734390895387</v>
      </c>
      <c r="AI272" s="236">
        <f t="shared" si="12"/>
        <v>152.20631783336927</v>
      </c>
      <c r="AM272" t="s">
        <v>439</v>
      </c>
    </row>
    <row r="273" spans="2:42" ht="15" thickBot="1" x14ac:dyDescent="0.4">
      <c r="B273" s="96" t="s">
        <v>139</v>
      </c>
      <c r="C273" s="37">
        <v>1</v>
      </c>
      <c r="D273" s="37">
        <v>0</v>
      </c>
      <c r="E273" s="37">
        <v>0</v>
      </c>
      <c r="F273" s="37">
        <v>0</v>
      </c>
      <c r="G273" s="37">
        <v>0</v>
      </c>
      <c r="H273" s="37">
        <v>0</v>
      </c>
      <c r="I273" s="37">
        <v>0</v>
      </c>
      <c r="J273" s="37">
        <v>0</v>
      </c>
      <c r="K273" s="37">
        <v>0</v>
      </c>
      <c r="L273" s="37">
        <v>0</v>
      </c>
      <c r="M273" s="37">
        <v>0</v>
      </c>
      <c r="N273" s="37">
        <v>0</v>
      </c>
      <c r="O273" s="37">
        <v>0</v>
      </c>
      <c r="P273" s="37">
        <v>0</v>
      </c>
      <c r="Q273" s="37">
        <v>0</v>
      </c>
      <c r="R273" s="37">
        <v>0</v>
      </c>
      <c r="S273" s="37">
        <v>0</v>
      </c>
      <c r="T273" s="37">
        <v>0</v>
      </c>
      <c r="U273" s="94">
        <v>0</v>
      </c>
      <c r="W273" s="94">
        <v>0</v>
      </c>
      <c r="Y273" s="12"/>
      <c r="Z273" s="26"/>
      <c r="AA273" s="29"/>
      <c r="AB273" s="29"/>
      <c r="AC273" s="29"/>
      <c r="AD273" s="27"/>
      <c r="AE273" s="126">
        <v>10</v>
      </c>
      <c r="AF273" s="213">
        <v>0.57913980799999998</v>
      </c>
      <c r="AG273" s="233">
        <f t="shared" si="10"/>
        <v>2084.9033088000001</v>
      </c>
      <c r="AH273" s="42">
        <f t="shared" si="11"/>
        <v>67.593348325666625</v>
      </c>
      <c r="AI273" s="236">
        <f t="shared" si="12"/>
        <v>30.844799975803511</v>
      </c>
      <c r="AM273" t="s">
        <v>441</v>
      </c>
      <c r="AP273">
        <f>(AM69/1000*AT103*AW103)</f>
        <v>267329.0242156465</v>
      </c>
    </row>
    <row r="274" spans="2:42" ht="15" thickBot="1" x14ac:dyDescent="0.4">
      <c r="B274" s="96" t="s">
        <v>140</v>
      </c>
      <c r="C274" s="37">
        <v>0</v>
      </c>
      <c r="D274" s="37">
        <v>0</v>
      </c>
      <c r="E274" s="37">
        <v>0</v>
      </c>
      <c r="F274" s="37">
        <v>0</v>
      </c>
      <c r="G274" s="37">
        <v>0</v>
      </c>
      <c r="H274" s="37">
        <v>0</v>
      </c>
      <c r="I274" s="37">
        <v>0</v>
      </c>
      <c r="J274" s="37">
        <v>1</v>
      </c>
      <c r="K274" s="37">
        <v>0</v>
      </c>
      <c r="L274" s="37">
        <v>0</v>
      </c>
      <c r="M274" s="37">
        <v>0</v>
      </c>
      <c r="N274" s="37">
        <v>0</v>
      </c>
      <c r="O274" s="37">
        <v>0</v>
      </c>
      <c r="P274" s="37">
        <v>0</v>
      </c>
      <c r="Q274" s="37">
        <v>0</v>
      </c>
      <c r="R274" s="37">
        <v>0</v>
      </c>
      <c r="S274" s="37">
        <v>0</v>
      </c>
      <c r="T274" s="37">
        <v>0</v>
      </c>
      <c r="U274" s="37">
        <v>0</v>
      </c>
      <c r="W274" s="42">
        <f>J289*task2!I50/1000/3600</f>
        <v>0.55669252905685762</v>
      </c>
      <c r="Z274" s="12"/>
      <c r="AA274" s="12"/>
      <c r="AB274" s="12"/>
      <c r="AC274" s="12"/>
      <c r="AD274" s="12"/>
      <c r="AE274" s="126">
        <v>11</v>
      </c>
      <c r="AF274" s="213">
        <v>2.08073735473379</v>
      </c>
      <c r="AG274" s="233">
        <f t="shared" si="10"/>
        <v>7490.654477041644</v>
      </c>
      <c r="AH274" s="42">
        <f t="shared" si="11"/>
        <v>78.658327437671318</v>
      </c>
      <c r="AI274" s="236">
        <f t="shared" si="12"/>
        <v>95.230279120506623</v>
      </c>
      <c r="AM274" t="s">
        <v>440</v>
      </c>
      <c r="AP274">
        <f>AM70/1000*AT103*AW103</f>
        <v>761314.47157319996</v>
      </c>
    </row>
    <row r="275" spans="2:42" ht="15" thickBot="1" x14ac:dyDescent="0.4">
      <c r="B275" s="96" t="s">
        <v>141</v>
      </c>
      <c r="C275" s="37">
        <v>0</v>
      </c>
      <c r="D275" s="37">
        <v>0</v>
      </c>
      <c r="E275" s="37">
        <v>0</v>
      </c>
      <c r="F275" s="37">
        <v>0</v>
      </c>
      <c r="G275" s="37">
        <v>0</v>
      </c>
      <c r="H275" s="37">
        <v>0</v>
      </c>
      <c r="I275" s="37">
        <v>0</v>
      </c>
      <c r="J275" s="37">
        <v>0</v>
      </c>
      <c r="K275" s="37">
        <v>0</v>
      </c>
      <c r="L275" s="37">
        <v>0</v>
      </c>
      <c r="M275" s="37">
        <v>1</v>
      </c>
      <c r="N275" s="37">
        <v>0</v>
      </c>
      <c r="O275" s="37">
        <v>0</v>
      </c>
      <c r="P275" s="37">
        <v>0</v>
      </c>
      <c r="Q275" s="37">
        <v>0</v>
      </c>
      <c r="R275" s="37">
        <v>0</v>
      </c>
      <c r="S275" s="37">
        <v>0</v>
      </c>
      <c r="T275" s="37">
        <v>0</v>
      </c>
      <c r="U275" s="37">
        <v>0</v>
      </c>
      <c r="W275" s="42">
        <f>J289*task2!L50/1000/3600</f>
        <v>0.57913980845431146</v>
      </c>
      <c r="AE275" s="126">
        <v>12</v>
      </c>
      <c r="AF275" s="213">
        <v>0</v>
      </c>
      <c r="AG275" s="233">
        <f t="shared" si="10"/>
        <v>0</v>
      </c>
      <c r="AH275" s="42">
        <f t="shared" si="11"/>
        <v>19.186423668041432</v>
      </c>
      <c r="AI275" s="236">
        <f t="shared" si="12"/>
        <v>0</v>
      </c>
      <c r="AM275" t="s">
        <v>439</v>
      </c>
      <c r="AP275" s="138">
        <f>(AI280*AP273+AI281*AP274)/(AP273+AP274)</f>
        <v>149.35507004187474</v>
      </c>
    </row>
    <row r="276" spans="2:42" ht="15" thickBot="1" x14ac:dyDescent="0.4">
      <c r="B276" s="96" t="s">
        <v>145</v>
      </c>
      <c r="C276" s="94">
        <v>0</v>
      </c>
      <c r="D276" s="94">
        <v>0</v>
      </c>
      <c r="E276" s="94">
        <v>0</v>
      </c>
      <c r="F276" s="94">
        <v>0</v>
      </c>
      <c r="G276" s="94">
        <v>0</v>
      </c>
      <c r="H276" s="37">
        <v>0</v>
      </c>
      <c r="I276" s="94">
        <v>0</v>
      </c>
      <c r="J276" s="94">
        <v>0</v>
      </c>
      <c r="K276" s="94">
        <v>0</v>
      </c>
      <c r="L276" s="94">
        <v>0</v>
      </c>
      <c r="M276" s="94">
        <v>0</v>
      </c>
      <c r="N276" s="94">
        <v>0</v>
      </c>
      <c r="O276" s="94">
        <v>0</v>
      </c>
      <c r="P276" s="94">
        <v>1</v>
      </c>
      <c r="Q276" s="37">
        <v>0</v>
      </c>
      <c r="R276" s="37">
        <v>0</v>
      </c>
      <c r="S276" s="37">
        <v>0</v>
      </c>
      <c r="T276" s="37">
        <v>0</v>
      </c>
      <c r="U276" s="37">
        <v>0</v>
      </c>
      <c r="W276" s="150">
        <f>O289*task1!F37/3600</f>
        <v>0.87566852813999996</v>
      </c>
      <c r="AE276" s="126">
        <v>13</v>
      </c>
      <c r="AF276" s="213">
        <v>0.87566852799999995</v>
      </c>
      <c r="AG276" s="233">
        <f t="shared" si="10"/>
        <v>3152.4067007999997</v>
      </c>
      <c r="AH276" s="42">
        <f t="shared" ref="AH276:AH281" si="13">AB39</f>
        <v>30.947210999999999</v>
      </c>
      <c r="AI276" s="236">
        <f t="shared" si="12"/>
        <v>101.86399998371419</v>
      </c>
    </row>
    <row r="277" spans="2:42" ht="15" thickBot="1" x14ac:dyDescent="0.4">
      <c r="B277" s="96" t="s">
        <v>146</v>
      </c>
      <c r="C277" s="37">
        <v>0</v>
      </c>
      <c r="D277" s="37">
        <v>0</v>
      </c>
      <c r="E277" s="37">
        <v>0</v>
      </c>
      <c r="F277" s="37">
        <v>0</v>
      </c>
      <c r="G277" s="37">
        <v>0</v>
      </c>
      <c r="H277" s="37">
        <v>0</v>
      </c>
      <c r="I277" s="37">
        <v>0</v>
      </c>
      <c r="J277" s="37">
        <v>0</v>
      </c>
      <c r="K277" s="37">
        <v>0</v>
      </c>
      <c r="L277" s="37">
        <v>0</v>
      </c>
      <c r="M277" s="37">
        <v>0</v>
      </c>
      <c r="N277" s="37">
        <v>0</v>
      </c>
      <c r="O277" s="37">
        <v>0</v>
      </c>
      <c r="P277" s="37">
        <v>0</v>
      </c>
      <c r="Q277" s="37">
        <v>0</v>
      </c>
      <c r="R277" s="37">
        <v>1</v>
      </c>
      <c r="S277" s="37">
        <v>0</v>
      </c>
      <c r="T277" s="37">
        <v>0</v>
      </c>
      <c r="U277" s="37">
        <v>0</v>
      </c>
      <c r="W277" s="150">
        <f>O289*task1!H37/3600</f>
        <v>0.89734841303333335</v>
      </c>
      <c r="AE277" s="126">
        <v>14</v>
      </c>
      <c r="AF277" s="213">
        <v>0</v>
      </c>
      <c r="AG277" s="233">
        <f t="shared" si="10"/>
        <v>0</v>
      </c>
      <c r="AH277" s="42">
        <f t="shared" si="13"/>
        <v>0</v>
      </c>
      <c r="AI277" s="236">
        <f>0</f>
        <v>0</v>
      </c>
    </row>
    <row r="278" spans="2:42" ht="15" thickBot="1" x14ac:dyDescent="0.4">
      <c r="B278" s="96" t="s">
        <v>143</v>
      </c>
      <c r="C278" s="94">
        <v>0</v>
      </c>
      <c r="D278" s="94">
        <v>0</v>
      </c>
      <c r="E278" s="94">
        <v>0</v>
      </c>
      <c r="F278" s="94">
        <v>0</v>
      </c>
      <c r="G278" s="94">
        <v>0</v>
      </c>
      <c r="H278" s="37">
        <v>0</v>
      </c>
      <c r="I278" s="94">
        <v>0</v>
      </c>
      <c r="J278" s="94">
        <v>0</v>
      </c>
      <c r="K278" s="94">
        <v>0</v>
      </c>
      <c r="L278" s="94">
        <v>0</v>
      </c>
      <c r="M278" s="94">
        <v>0</v>
      </c>
      <c r="N278" s="94">
        <v>0</v>
      </c>
      <c r="O278" s="94">
        <v>1</v>
      </c>
      <c r="P278" s="94">
        <v>0</v>
      </c>
      <c r="Q278" s="94">
        <v>0</v>
      </c>
      <c r="R278" s="94">
        <v>0</v>
      </c>
      <c r="S278" s="94">
        <v>0</v>
      </c>
      <c r="T278" s="94">
        <v>0</v>
      </c>
      <c r="U278" s="94">
        <v>0</v>
      </c>
      <c r="W278" s="208">
        <v>0</v>
      </c>
      <c r="AE278" s="126">
        <v>15</v>
      </c>
      <c r="AF278" s="213">
        <v>0.89734841300000001</v>
      </c>
      <c r="AG278" s="233">
        <f t="shared" si="10"/>
        <v>3230.4542867999999</v>
      </c>
      <c r="AH278" s="42">
        <f t="shared" si="13"/>
        <v>31.713404999999998</v>
      </c>
      <c r="AI278" s="236">
        <f t="shared" si="12"/>
        <v>101.86399999621611</v>
      </c>
    </row>
    <row r="279" spans="2:42" ht="15" thickBot="1" x14ac:dyDescent="0.4">
      <c r="B279" s="96" t="s">
        <v>156</v>
      </c>
      <c r="C279" s="37">
        <v>0</v>
      </c>
      <c r="D279" s="37">
        <v>0</v>
      </c>
      <c r="E279" s="37">
        <v>0</v>
      </c>
      <c r="F279" s="37">
        <v>0</v>
      </c>
      <c r="G279" s="37">
        <v>0</v>
      </c>
      <c r="H279" s="37">
        <v>0</v>
      </c>
      <c r="I279" s="37">
        <v>0</v>
      </c>
      <c r="J279" s="37">
        <v>0</v>
      </c>
      <c r="K279" s="37">
        <v>0</v>
      </c>
      <c r="L279" s="37">
        <v>0</v>
      </c>
      <c r="M279" s="37">
        <v>0</v>
      </c>
      <c r="N279" s="37">
        <v>0</v>
      </c>
      <c r="O279" s="37">
        <v>0</v>
      </c>
      <c r="P279" s="37">
        <v>0</v>
      </c>
      <c r="Q279" s="37">
        <v>1</v>
      </c>
      <c r="R279" s="37">
        <v>0</v>
      </c>
      <c r="S279" s="37">
        <v>0</v>
      </c>
      <c r="T279" s="37">
        <v>0</v>
      </c>
      <c r="U279" s="37">
        <v>0</v>
      </c>
      <c r="W279" s="208">
        <v>0</v>
      </c>
      <c r="AE279" s="126">
        <v>16</v>
      </c>
      <c r="AF279" s="213">
        <v>0</v>
      </c>
      <c r="AG279" s="233">
        <f t="shared" si="10"/>
        <v>0</v>
      </c>
      <c r="AH279" s="42">
        <f t="shared" si="13"/>
        <v>0</v>
      </c>
      <c r="AI279" s="236">
        <f>0</f>
        <v>0</v>
      </c>
    </row>
    <row r="280" spans="2:42" ht="15" thickBot="1" x14ac:dyDescent="0.4">
      <c r="B280" s="97" t="s">
        <v>157</v>
      </c>
      <c r="C280" s="37">
        <v>0</v>
      </c>
      <c r="D280" s="37">
        <v>0</v>
      </c>
      <c r="E280" s="37">
        <v>0</v>
      </c>
      <c r="F280" s="37">
        <v>0</v>
      </c>
      <c r="G280" s="37">
        <v>0</v>
      </c>
      <c r="H280" s="37">
        <v>0</v>
      </c>
      <c r="I280" s="37">
        <v>0</v>
      </c>
      <c r="J280" s="37">
        <v>0</v>
      </c>
      <c r="K280" s="37">
        <v>0</v>
      </c>
      <c r="L280" s="37">
        <v>0</v>
      </c>
      <c r="M280" s="37">
        <v>0</v>
      </c>
      <c r="N280" s="37">
        <v>0</v>
      </c>
      <c r="O280" s="37">
        <v>0</v>
      </c>
      <c r="P280" s="37">
        <v>0</v>
      </c>
      <c r="Q280" s="37">
        <v>0</v>
      </c>
      <c r="R280" s="37">
        <v>0</v>
      </c>
      <c r="S280" s="37">
        <v>1</v>
      </c>
      <c r="T280" s="37">
        <v>0</v>
      </c>
      <c r="U280" s="37">
        <v>0</v>
      </c>
      <c r="W280" s="208">
        <v>0</v>
      </c>
      <c r="AE280" s="126">
        <v>17</v>
      </c>
      <c r="AF280" s="217">
        <v>1.06525435926621</v>
      </c>
      <c r="AG280" s="233">
        <f t="shared" si="10"/>
        <v>3834.9156933583563</v>
      </c>
      <c r="AH280" s="42">
        <f t="shared" si="13"/>
        <v>24.818525000000001</v>
      </c>
      <c r="AI280" s="236">
        <f t="shared" si="12"/>
        <v>154.51827589908572</v>
      </c>
    </row>
    <row r="281" spans="2:42" ht="15" thickBot="1" x14ac:dyDescent="0.4">
      <c r="B281" s="98" t="s">
        <v>144</v>
      </c>
      <c r="C281" s="37">
        <v>0</v>
      </c>
      <c r="D281" s="37">
        <v>0</v>
      </c>
      <c r="E281" s="37">
        <v>0</v>
      </c>
      <c r="F281" s="37">
        <v>0</v>
      </c>
      <c r="G281" s="37">
        <v>0</v>
      </c>
      <c r="H281" s="37">
        <v>0</v>
      </c>
      <c r="I281" s="37">
        <v>0</v>
      </c>
      <c r="J281" s="37">
        <v>0</v>
      </c>
      <c r="K281" s="11">
        <f>-task2!K50/task2!J50</f>
        <v>-0.5623721591792874</v>
      </c>
      <c r="L281" s="37">
        <v>1</v>
      </c>
      <c r="M281" s="37">
        <v>0</v>
      </c>
      <c r="N281" s="37">
        <v>0</v>
      </c>
      <c r="O281" s="37">
        <v>0</v>
      </c>
      <c r="P281" s="37">
        <v>0</v>
      </c>
      <c r="Q281" s="37">
        <v>0</v>
      </c>
      <c r="R281" s="37">
        <v>0</v>
      </c>
      <c r="S281" s="37">
        <v>0</v>
      </c>
      <c r="T281" s="37">
        <v>0</v>
      </c>
      <c r="U281" s="37">
        <v>0</v>
      </c>
      <c r="W281" s="209">
        <v>0</v>
      </c>
      <c r="AE281" s="126">
        <v>18</v>
      </c>
      <c r="AF281" s="216">
        <v>2.2074996327337901</v>
      </c>
      <c r="AG281" s="234">
        <f t="shared" si="10"/>
        <v>7946.9986778416442</v>
      </c>
      <c r="AH281" s="10">
        <f t="shared" si="13"/>
        <v>53.8626</v>
      </c>
      <c r="AI281" s="237">
        <f t="shared" si="12"/>
        <v>147.54205474376735</v>
      </c>
    </row>
    <row r="282" spans="2:42" x14ac:dyDescent="0.35">
      <c r="B282" s="151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109"/>
      <c r="N282" s="76"/>
      <c r="O282" s="76"/>
      <c r="P282" s="76"/>
      <c r="Q282" s="76"/>
      <c r="R282" s="76"/>
      <c r="S282" s="76"/>
      <c r="T282" s="76"/>
      <c r="U282" s="109"/>
    </row>
    <row r="283" spans="2:42" x14ac:dyDescent="0.35"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</row>
    <row r="285" spans="2:42" ht="15" thickBot="1" x14ac:dyDescent="0.4">
      <c r="B285" s="12"/>
      <c r="C285" s="12"/>
      <c r="D285" s="12"/>
      <c r="E285" s="12"/>
      <c r="F285" s="12"/>
      <c r="AF285" s="215"/>
      <c r="AG285" t="s">
        <v>416</v>
      </c>
    </row>
    <row r="286" spans="2:42" ht="19" thickBot="1" x14ac:dyDescent="0.5">
      <c r="B286" s="12"/>
      <c r="C286" s="22" t="s">
        <v>147</v>
      </c>
      <c r="D286" s="28"/>
      <c r="E286" s="28"/>
      <c r="F286" s="28"/>
      <c r="G286" s="23"/>
      <c r="I286" s="205" t="s">
        <v>396</v>
      </c>
      <c r="J286" s="1"/>
      <c r="K286" s="1"/>
      <c r="L286" s="1"/>
      <c r="M286" s="2"/>
      <c r="N286" s="207" t="s">
        <v>405</v>
      </c>
      <c r="O286" s="28"/>
      <c r="P286" s="28"/>
      <c r="Q286" s="28"/>
      <c r="R286" s="23"/>
    </row>
    <row r="287" spans="2:42" x14ac:dyDescent="0.35">
      <c r="B287" s="12"/>
      <c r="C287" s="24" t="s">
        <v>139</v>
      </c>
      <c r="D287" s="12" t="s">
        <v>390</v>
      </c>
      <c r="E287" s="12"/>
      <c r="F287" s="12"/>
      <c r="G287" s="25"/>
      <c r="I287" s="24"/>
      <c r="J287" s="12" t="s">
        <v>397</v>
      </c>
      <c r="K287" s="12" t="s">
        <v>398</v>
      </c>
      <c r="L287" s="12"/>
      <c r="M287" s="12" t="s">
        <v>399</v>
      </c>
      <c r="N287" s="22"/>
      <c r="O287" s="28" t="s">
        <v>397</v>
      </c>
      <c r="P287" s="28" t="s">
        <v>398</v>
      </c>
      <c r="Q287" s="28"/>
      <c r="R287" s="23" t="s">
        <v>399</v>
      </c>
    </row>
    <row r="288" spans="2:42" x14ac:dyDescent="0.35">
      <c r="B288" s="12"/>
      <c r="C288" s="24" t="s">
        <v>140</v>
      </c>
      <c r="D288" s="12" t="s">
        <v>391</v>
      </c>
      <c r="E288" s="12"/>
      <c r="F288" s="12"/>
      <c r="G288" s="25"/>
      <c r="I288" s="24" t="s">
        <v>403</v>
      </c>
      <c r="J288" s="12">
        <v>7.2576000000000001</v>
      </c>
      <c r="K288" s="12"/>
      <c r="L288" s="12"/>
      <c r="M288" s="12"/>
      <c r="N288" s="24" t="s">
        <v>438</v>
      </c>
      <c r="O288" s="206">
        <v>8.5599999999999996E-2</v>
      </c>
      <c r="P288" s="12"/>
      <c r="Q288" s="12"/>
      <c r="R288" s="25"/>
    </row>
    <row r="289" spans="2:18" ht="15" thickBot="1" x14ac:dyDescent="0.4">
      <c r="B289" s="12"/>
      <c r="C289" s="24" t="s">
        <v>141</v>
      </c>
      <c r="D289" s="12" t="s">
        <v>392</v>
      </c>
      <c r="E289" s="12"/>
      <c r="F289" s="12"/>
      <c r="G289" s="25"/>
      <c r="I289" s="26" t="s">
        <v>404</v>
      </c>
      <c r="J289" s="107">
        <f>J288*J294/J295</f>
        <v>30.844799999999992</v>
      </c>
      <c r="K289" s="29"/>
      <c r="L289" s="29"/>
      <c r="M289" s="29"/>
      <c r="N289" s="26" t="s">
        <v>404</v>
      </c>
      <c r="O289" s="107">
        <f>O288*J294*1000</f>
        <v>101.86399999999999</v>
      </c>
      <c r="P289" s="29"/>
      <c r="Q289" s="29"/>
      <c r="R289" s="27"/>
    </row>
    <row r="290" spans="2:18" x14ac:dyDescent="0.35">
      <c r="B290" s="12"/>
      <c r="C290" s="24" t="s">
        <v>145</v>
      </c>
      <c r="D290" s="12" t="s">
        <v>393</v>
      </c>
      <c r="E290" s="12"/>
      <c r="F290" s="12"/>
      <c r="G290" s="25"/>
      <c r="N290" s="12"/>
      <c r="O290" s="12"/>
      <c r="P290" s="12"/>
      <c r="Q290" s="12"/>
      <c r="R290" s="12"/>
    </row>
    <row r="291" spans="2:18" x14ac:dyDescent="0.35">
      <c r="B291" s="12"/>
      <c r="C291" s="24" t="s">
        <v>146</v>
      </c>
      <c r="D291" s="12" t="s">
        <v>394</v>
      </c>
      <c r="E291" s="12"/>
      <c r="F291" s="12"/>
      <c r="G291" s="25"/>
      <c r="I291" t="s">
        <v>406</v>
      </c>
      <c r="N291" s="12"/>
      <c r="O291" s="12"/>
      <c r="P291" s="12"/>
      <c r="Q291" s="12"/>
      <c r="R291" s="12"/>
    </row>
    <row r="292" spans="2:18" x14ac:dyDescent="0.35">
      <c r="B292" s="12"/>
      <c r="C292" s="24" t="s">
        <v>143</v>
      </c>
      <c r="D292" s="12" t="s">
        <v>395</v>
      </c>
      <c r="E292" s="12"/>
      <c r="F292" s="12"/>
      <c r="G292" s="25"/>
      <c r="I292" t="s">
        <v>407</v>
      </c>
    </row>
    <row r="293" spans="2:18" ht="15" thickBot="1" x14ac:dyDescent="0.4">
      <c r="B293" s="12"/>
      <c r="C293" s="24" t="s">
        <v>156</v>
      </c>
      <c r="D293" s="12" t="s">
        <v>409</v>
      </c>
      <c r="E293" s="12"/>
      <c r="F293" s="12"/>
      <c r="G293" s="25"/>
    </row>
    <row r="294" spans="2:18" x14ac:dyDescent="0.35">
      <c r="B294" s="12"/>
      <c r="C294" s="24" t="s">
        <v>157</v>
      </c>
      <c r="D294" s="12" t="s">
        <v>408</v>
      </c>
      <c r="E294" s="12"/>
      <c r="F294" s="12"/>
      <c r="G294" s="25"/>
      <c r="I294" s="22" t="s">
        <v>400</v>
      </c>
      <c r="J294" s="28">
        <v>1.19</v>
      </c>
      <c r="K294" s="23" t="s">
        <v>287</v>
      </c>
    </row>
    <row r="295" spans="2:18" ht="15" thickBot="1" x14ac:dyDescent="0.4">
      <c r="B295" s="12"/>
      <c r="C295" s="26" t="s">
        <v>144</v>
      </c>
      <c r="D295" s="29" t="s">
        <v>428</v>
      </c>
      <c r="E295" s="29"/>
      <c r="F295" s="29"/>
      <c r="G295" s="27"/>
      <c r="I295" s="26" t="s">
        <v>401</v>
      </c>
      <c r="J295" s="29">
        <v>0.28000000000000003</v>
      </c>
      <c r="K295" s="27" t="s">
        <v>402</v>
      </c>
    </row>
    <row r="296" spans="2:18" x14ac:dyDescent="0.35">
      <c r="B296" s="12"/>
      <c r="C296" s="12"/>
      <c r="D296" s="12"/>
      <c r="E296" s="12"/>
      <c r="F296" s="1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EBEB-1548-4193-B387-9CB489FD52F3}">
  <dimension ref="A1:Z29"/>
  <sheetViews>
    <sheetView topLeftCell="E4" zoomScale="80" zoomScaleNormal="80" workbookViewId="0">
      <selection activeCell="Z29" sqref="Z29:AR29"/>
    </sheetView>
  </sheetViews>
  <sheetFormatPr defaultRowHeight="14.5" x14ac:dyDescent="0.35"/>
  <cols>
    <col min="1" max="1" width="15.81640625" customWidth="1"/>
    <col min="3" max="3" width="29.54296875" customWidth="1"/>
    <col min="4" max="4" width="16.26953125" customWidth="1"/>
    <col min="5" max="5" width="29.08984375" customWidth="1"/>
    <col min="7" max="7" width="25.81640625" customWidth="1"/>
    <col min="8" max="8" width="20.54296875" bestFit="1" customWidth="1"/>
    <col min="9" max="9" width="18.7265625" customWidth="1"/>
    <col min="10" max="10" width="12" customWidth="1"/>
    <col min="11" max="11" width="25.90625" customWidth="1"/>
    <col min="12" max="12" width="10.08984375" customWidth="1"/>
    <col min="13" max="13" width="18.26953125" customWidth="1"/>
    <col min="14" max="14" width="10.54296875" customWidth="1"/>
    <col min="15" max="15" width="19.08984375" customWidth="1"/>
    <col min="18" max="18" width="16.453125" customWidth="1"/>
    <col min="20" max="20" width="8.6328125" customWidth="1"/>
    <col min="24" max="24" width="20.7265625" customWidth="1"/>
    <col min="26" max="26" width="34.08984375" customWidth="1"/>
  </cols>
  <sheetData>
    <row r="1" spans="1:26" ht="15" thickBot="1" x14ac:dyDescent="0.4">
      <c r="A1" s="4" t="s">
        <v>417</v>
      </c>
    </row>
    <row r="2" spans="1:26" x14ac:dyDescent="0.35">
      <c r="A2" t="s">
        <v>418</v>
      </c>
    </row>
    <row r="3" spans="1:26" ht="15" thickBot="1" x14ac:dyDescent="0.4"/>
    <row r="4" spans="1:26" ht="15" thickBot="1" x14ac:dyDescent="0.4">
      <c r="A4" s="219" t="s">
        <v>419</v>
      </c>
      <c r="B4" s="220" t="s">
        <v>430</v>
      </c>
      <c r="C4" s="219"/>
      <c r="D4" s="220" t="s">
        <v>431</v>
      </c>
      <c r="E4" s="221"/>
      <c r="F4" s="222" t="s">
        <v>432</v>
      </c>
      <c r="G4" s="223"/>
      <c r="H4" s="224" t="s">
        <v>433</v>
      </c>
      <c r="I4" s="223"/>
      <c r="J4" s="225" t="s">
        <v>423</v>
      </c>
      <c r="K4" s="223"/>
      <c r="L4" s="220" t="s">
        <v>424</v>
      </c>
      <c r="M4" s="221"/>
      <c r="N4" s="220" t="s">
        <v>425</v>
      </c>
      <c r="O4" s="221"/>
      <c r="R4" s="22" t="s">
        <v>113</v>
      </c>
      <c r="S4" s="23"/>
      <c r="T4" s="11" t="s">
        <v>170</v>
      </c>
      <c r="U4" s="3" t="s">
        <v>171</v>
      </c>
      <c r="V4" s="3" t="s">
        <v>172</v>
      </c>
      <c r="X4" s="41" t="s">
        <v>427</v>
      </c>
      <c r="Z4" s="54" t="s">
        <v>421</v>
      </c>
    </row>
    <row r="5" spans="1:26" x14ac:dyDescent="0.35">
      <c r="A5" s="22" t="s">
        <v>32</v>
      </c>
      <c r="B5" s="22"/>
      <c r="C5" s="23">
        <f>Z18</f>
        <v>101.86399998371419</v>
      </c>
      <c r="D5" s="22"/>
      <c r="E5" s="28">
        <f>ABS((Z5*X5-Z6*X6)/(X6-X5))</f>
        <v>116.82366001658511</v>
      </c>
      <c r="F5" s="22"/>
      <c r="G5" s="23">
        <f>task4!AX103</f>
        <v>5.1977419136877846E-2</v>
      </c>
      <c r="H5" s="22"/>
      <c r="I5" s="28">
        <f>task2!B111</f>
        <v>2.3611745310000001</v>
      </c>
      <c r="J5" s="22"/>
      <c r="K5" s="23">
        <f>(C5*I5)/3600</f>
        <v>6.6810745107591774E-2</v>
      </c>
      <c r="L5" s="28"/>
      <c r="M5" s="23">
        <f>(E5-C5)/C5</f>
        <v>0.14685914587354348</v>
      </c>
      <c r="N5" s="22"/>
      <c r="O5" s="23">
        <f>G5/(G5+K5)</f>
        <v>0.43756395653953162</v>
      </c>
      <c r="R5" s="22" t="s">
        <v>32</v>
      </c>
      <c r="S5" s="23"/>
      <c r="T5" s="54" t="s">
        <v>153</v>
      </c>
      <c r="U5" s="54" t="s">
        <v>176</v>
      </c>
      <c r="V5" s="54" t="s">
        <v>177</v>
      </c>
      <c r="W5">
        <v>1</v>
      </c>
      <c r="X5" s="63">
        <f>task4!AB26</f>
        <v>0.48101223149101613</v>
      </c>
      <c r="Z5" s="9">
        <f>task4!AI263</f>
        <v>0</v>
      </c>
    </row>
    <row r="6" spans="1:26" x14ac:dyDescent="0.35">
      <c r="A6" s="24" t="s">
        <v>34</v>
      </c>
      <c r="B6" s="24"/>
      <c r="C6" s="25">
        <f>Z6</f>
        <v>114.89041904959755</v>
      </c>
      <c r="D6" s="24"/>
      <c r="E6" s="12">
        <f>Z7</f>
        <v>166.01271979900935</v>
      </c>
      <c r="F6" s="24"/>
      <c r="G6" s="25">
        <f>task4!AX104</f>
        <v>2.4889977600777709E-3</v>
      </c>
      <c r="H6" s="24"/>
      <c r="I6" s="12">
        <f>task2!B112</f>
        <v>8.8969930000000002</v>
      </c>
      <c r="J6" s="24"/>
      <c r="K6" s="25">
        <f t="shared" ref="K6:K14" si="0">(C6*I6)/3600</f>
        <v>0.28393868168092667</v>
      </c>
      <c r="L6" s="12"/>
      <c r="M6" s="25">
        <f>(E7-C7)/C7</f>
        <v>0.14015420882016391</v>
      </c>
      <c r="N6" s="24"/>
      <c r="O6" s="25">
        <f t="shared" ref="O6:O14" si="1">G6/(G6+K6)</f>
        <v>8.6897948024273614E-3</v>
      </c>
      <c r="R6" s="24" t="s">
        <v>33</v>
      </c>
      <c r="S6" s="25"/>
      <c r="T6" s="62" t="s">
        <v>154</v>
      </c>
      <c r="U6" s="62" t="s">
        <v>178</v>
      </c>
      <c r="V6" s="62" t="s">
        <v>177</v>
      </c>
      <c r="W6">
        <v>2</v>
      </c>
      <c r="X6" s="94">
        <f>task4!AB27</f>
        <v>29.067048730654776</v>
      </c>
      <c r="Z6" s="42">
        <f>task4!AI264</f>
        <v>114.89041904959755</v>
      </c>
    </row>
    <row r="7" spans="1:26" x14ac:dyDescent="0.35">
      <c r="A7" s="24" t="s">
        <v>33</v>
      </c>
      <c r="B7" s="24"/>
      <c r="C7" s="25">
        <f>Z20</f>
        <v>101.86399999621611</v>
      </c>
      <c r="D7" s="24"/>
      <c r="E7" s="12">
        <f>ABS((Z8*X8-Z7*X7)/(X8-X7))</f>
        <v>116.14066832294296</v>
      </c>
      <c r="F7" s="24"/>
      <c r="G7" s="25">
        <f>task4!AX105</f>
        <v>5.2745756573015508E-2</v>
      </c>
      <c r="H7" s="24"/>
      <c r="I7" s="12">
        <f>task2!B113</f>
        <v>2.2634367000000002</v>
      </c>
      <c r="J7" s="24"/>
      <c r="K7" s="25">
        <f t="shared" si="0"/>
        <v>6.4045198888954283E-2</v>
      </c>
      <c r="L7" s="12"/>
      <c r="M7" s="25">
        <f>(E6-C6)/C6</f>
        <v>0.44496574363909824</v>
      </c>
      <c r="N7" s="24"/>
      <c r="O7" s="25">
        <f t="shared" si="1"/>
        <v>0.45162535373033158</v>
      </c>
      <c r="R7" s="24" t="s">
        <v>34</v>
      </c>
      <c r="S7" s="25"/>
      <c r="T7" s="62" t="s">
        <v>179</v>
      </c>
      <c r="U7" s="62" t="s">
        <v>180</v>
      </c>
      <c r="V7" s="62" t="s">
        <v>181</v>
      </c>
      <c r="W7">
        <v>3</v>
      </c>
      <c r="X7" s="94">
        <f>task4!AB28</f>
        <v>20.170055680396015</v>
      </c>
      <c r="Z7" s="42">
        <f>task4!AI265</f>
        <v>166.01271979900935</v>
      </c>
    </row>
    <row r="8" spans="1:26" x14ac:dyDescent="0.35">
      <c r="A8" s="24" t="s">
        <v>35</v>
      </c>
      <c r="B8" s="24"/>
      <c r="C8" s="25">
        <f>Z8</f>
        <v>136.41317068105243</v>
      </c>
      <c r="D8" s="24"/>
      <c r="E8" s="12">
        <f>Z9</f>
        <v>170.27727462952279</v>
      </c>
      <c r="F8" s="24"/>
      <c r="G8" s="25">
        <f>task4!AX106</f>
        <v>2.9384918650062573E-3</v>
      </c>
      <c r="H8" s="24"/>
      <c r="I8" s="12">
        <f>task2!B114</f>
        <v>9.8061179999999997</v>
      </c>
      <c r="J8" s="24"/>
      <c r="K8" s="25">
        <f t="shared" si="0"/>
        <v>0.37157879123681681</v>
      </c>
      <c r="L8" s="12"/>
      <c r="M8" s="25">
        <f t="shared" ref="M8:M14" si="2">(E8-C8)/C8</f>
        <v>0.24824658630395743</v>
      </c>
      <c r="N8" s="24"/>
      <c r="O8" s="25">
        <f t="shared" si="1"/>
        <v>7.8460781320133233E-3</v>
      </c>
      <c r="R8" s="24" t="s">
        <v>35</v>
      </c>
      <c r="S8" s="25"/>
      <c r="T8" s="62" t="s">
        <v>182</v>
      </c>
      <c r="U8" s="62" t="s">
        <v>183</v>
      </c>
      <c r="V8" s="62" t="s">
        <v>184</v>
      </c>
      <c r="W8">
        <v>4</v>
      </c>
      <c r="X8" s="94">
        <f>task4!AB29</f>
        <v>49.620024079831602</v>
      </c>
      <c r="Z8" s="42">
        <f>task4!AI266</f>
        <v>136.41317068105243</v>
      </c>
    </row>
    <row r="9" spans="1:26" x14ac:dyDescent="0.35">
      <c r="A9" s="24" t="s">
        <v>129</v>
      </c>
      <c r="B9" s="24"/>
      <c r="C9" s="25">
        <f>Z9</f>
        <v>170.27727462952279</v>
      </c>
      <c r="D9" s="24"/>
      <c r="E9" s="12">
        <f>Z10</f>
        <v>173.65283426471785</v>
      </c>
      <c r="F9" s="24"/>
      <c r="G9" s="25">
        <f>task4!AX107</f>
        <v>3.7331726369269347E-2</v>
      </c>
      <c r="H9" s="24"/>
      <c r="I9" s="12">
        <f>task2!B115</f>
        <v>0</v>
      </c>
      <c r="J9" s="24"/>
      <c r="K9" s="25">
        <f t="shared" si="0"/>
        <v>0</v>
      </c>
      <c r="L9" s="12"/>
      <c r="M9" s="25">
        <f t="shared" si="2"/>
        <v>1.9823899827733107E-2</v>
      </c>
      <c r="N9" s="24"/>
      <c r="O9" s="25">
        <f t="shared" si="1"/>
        <v>1</v>
      </c>
      <c r="R9" s="24" t="s">
        <v>129</v>
      </c>
      <c r="S9" s="25"/>
      <c r="T9" s="62" t="s">
        <v>183</v>
      </c>
      <c r="U9" s="62" t="s">
        <v>183</v>
      </c>
      <c r="V9" s="62" t="s">
        <v>177</v>
      </c>
      <c r="W9">
        <v>5</v>
      </c>
      <c r="X9" s="94">
        <f>task4!AB30</f>
        <v>39.813905877634845</v>
      </c>
      <c r="Z9" s="42">
        <f>task4!AI267</f>
        <v>170.27727462952279</v>
      </c>
    </row>
    <row r="10" spans="1:26" x14ac:dyDescent="0.35">
      <c r="A10" s="24" t="s">
        <v>36</v>
      </c>
      <c r="B10" s="24"/>
      <c r="C10" s="25">
        <f>Z10</f>
        <v>173.65283426471785</v>
      </c>
      <c r="D10" s="24"/>
      <c r="E10" s="12">
        <f>Z11</f>
        <v>198.44801343451726</v>
      </c>
      <c r="F10" s="24"/>
      <c r="G10" s="25">
        <f>task4!AX108</f>
        <v>2.3723431997997829E-3</v>
      </c>
      <c r="H10" s="24"/>
      <c r="I10" s="12">
        <f>task2!B116</f>
        <v>4.9315309999999997</v>
      </c>
      <c r="J10" s="24"/>
      <c r="K10" s="25">
        <f t="shared" si="0"/>
        <v>0.23788175983731064</v>
      </c>
      <c r="L10" s="12"/>
      <c r="M10" s="25">
        <f t="shared" si="2"/>
        <v>0.14278591694047119</v>
      </c>
      <c r="N10" s="24"/>
      <c r="O10" s="25">
        <f t="shared" si="1"/>
        <v>9.8743087831192761E-3</v>
      </c>
      <c r="R10" s="24" t="s">
        <v>36</v>
      </c>
      <c r="S10" s="25"/>
      <c r="T10" s="62" t="s">
        <v>183</v>
      </c>
      <c r="U10" s="62" t="s">
        <v>185</v>
      </c>
      <c r="V10" s="62" t="s">
        <v>177</v>
      </c>
      <c r="W10" s="218" t="s">
        <v>389</v>
      </c>
      <c r="X10" s="94">
        <f>task4!AB31</f>
        <v>39.813905877634845</v>
      </c>
      <c r="Z10" s="42">
        <f>task4!AI268</f>
        <v>173.65283426471785</v>
      </c>
    </row>
    <row r="11" spans="1:26" x14ac:dyDescent="0.35">
      <c r="A11" s="24" t="s">
        <v>63</v>
      </c>
      <c r="B11" s="24"/>
      <c r="C11" s="25">
        <f>Z12</f>
        <v>30.844799996849666</v>
      </c>
      <c r="D11" s="24"/>
      <c r="E11" s="12">
        <f>ABS((Z13*X13-Z11*X11)/(X13-X11))</f>
        <v>71.768060238339501</v>
      </c>
      <c r="F11" s="24"/>
      <c r="G11" s="25">
        <f>task4!AX109</f>
        <v>3.0649159313868202E-3</v>
      </c>
      <c r="H11" s="24"/>
      <c r="I11" s="12">
        <f>task2!B117</f>
        <v>36.895128100000001</v>
      </c>
      <c r="J11" s="24"/>
      <c r="K11" s="25">
        <f t="shared" si="0"/>
        <v>0.31611745752851333</v>
      </c>
      <c r="L11" s="12"/>
      <c r="M11" s="25">
        <f t="shared" si="2"/>
        <v>1.3267474662072547</v>
      </c>
      <c r="N11" s="24"/>
      <c r="O11" s="25">
        <f t="shared" si="1"/>
        <v>9.6023972068491267E-3</v>
      </c>
      <c r="R11" s="24" t="s">
        <v>63</v>
      </c>
      <c r="S11" s="25"/>
      <c r="T11" s="62" t="s">
        <v>142</v>
      </c>
      <c r="U11" s="62" t="s">
        <v>186</v>
      </c>
      <c r="V11" s="62" t="s">
        <v>177</v>
      </c>
      <c r="W11">
        <v>6</v>
      </c>
      <c r="X11" s="94">
        <f>task4!AB32</f>
        <v>34.8823750552897</v>
      </c>
      <c r="Z11" s="42">
        <f>task4!AI269</f>
        <v>198.44801343451726</v>
      </c>
    </row>
    <row r="12" spans="1:26" x14ac:dyDescent="0.35">
      <c r="A12" s="24" t="s">
        <v>37</v>
      </c>
      <c r="B12" s="24"/>
      <c r="C12" s="25">
        <f>Z13</f>
        <v>141.95307646090612</v>
      </c>
      <c r="D12" s="24"/>
      <c r="E12" s="12">
        <f>Z22</f>
        <v>154.51827589908572</v>
      </c>
      <c r="F12" s="24"/>
      <c r="G12" s="25">
        <f>task4!AX110</f>
        <v>7.9631193970225389E-2</v>
      </c>
      <c r="H12" s="24"/>
      <c r="I12" s="12">
        <f>task2!B118</f>
        <v>2.7348290999999998</v>
      </c>
      <c r="J12" s="24"/>
      <c r="K12" s="25">
        <f t="shared" si="0"/>
        <v>0.10783816787216972</v>
      </c>
      <c r="L12" s="12"/>
      <c r="M12" s="25">
        <f>(E13-C13)/C13</f>
        <v>0.57520691425452586</v>
      </c>
      <c r="N12" s="24"/>
      <c r="O12" s="25">
        <f t="shared" si="1"/>
        <v>0.4247691099368604</v>
      </c>
      <c r="R12" s="24" t="s">
        <v>65</v>
      </c>
      <c r="S12" s="25"/>
      <c r="T12" s="62" t="s">
        <v>187</v>
      </c>
      <c r="U12" s="62" t="s">
        <v>188</v>
      </c>
      <c r="V12" s="62" t="s">
        <v>177</v>
      </c>
      <c r="W12">
        <v>7</v>
      </c>
      <c r="X12" s="94">
        <f>task4!AB33</f>
        <v>64.973451103741567</v>
      </c>
      <c r="Z12" s="42">
        <f>task4!AI270</f>
        <v>30.844799996849666</v>
      </c>
    </row>
    <row r="13" spans="1:26" x14ac:dyDescent="0.35">
      <c r="A13" s="24" t="s">
        <v>65</v>
      </c>
      <c r="B13" s="24"/>
      <c r="C13" s="25">
        <f>Z15</f>
        <v>30.844799975803511</v>
      </c>
      <c r="D13" s="24"/>
      <c r="E13" s="12">
        <f>ABS((Z16*X16-Z14*X14)/(X16-X14))</f>
        <v>48.586942190683523</v>
      </c>
      <c r="F13" s="24"/>
      <c r="G13" s="25">
        <f>task4!AX111</f>
        <v>4.5915909885558687E-3</v>
      </c>
      <c r="H13" s="24"/>
      <c r="I13" s="12">
        <f>task2!B119</f>
        <v>24.342365229999999</v>
      </c>
      <c r="J13" s="24"/>
      <c r="K13" s="25">
        <f t="shared" si="0"/>
        <v>0.20856538512702893</v>
      </c>
      <c r="L13" s="12"/>
      <c r="M13" s="25">
        <f>(E12-C12)/C12</f>
        <v>8.8516570062784516E-2</v>
      </c>
      <c r="N13" s="24"/>
      <c r="O13" s="25">
        <f t="shared" si="1"/>
        <v>2.1540890062477096E-2</v>
      </c>
      <c r="R13" s="24" t="s">
        <v>37</v>
      </c>
      <c r="S13" s="25"/>
      <c r="T13" s="62" t="s">
        <v>189</v>
      </c>
      <c r="U13" s="62" t="s">
        <v>190</v>
      </c>
      <c r="V13" s="62" t="s">
        <v>177</v>
      </c>
      <c r="W13">
        <v>8</v>
      </c>
      <c r="X13" s="94">
        <f>task4!AB34</f>
        <v>62.960698411220264</v>
      </c>
      <c r="Z13" s="42">
        <f>task4!AI271</f>
        <v>141.95307646090612</v>
      </c>
    </row>
    <row r="14" spans="1:26" ht="15" thickBot="1" x14ac:dyDescent="0.4">
      <c r="A14" s="26" t="s">
        <v>38</v>
      </c>
      <c r="B14" s="26"/>
      <c r="C14" s="27">
        <f>Z16</f>
        <v>95.230279120506623</v>
      </c>
      <c r="D14" s="26"/>
      <c r="E14" s="29">
        <f>Z23</f>
        <v>147.54205474376735</v>
      </c>
      <c r="F14" s="26"/>
      <c r="G14" s="27">
        <f>task4!AX112</f>
        <v>0.12676227801720133</v>
      </c>
      <c r="H14" s="26"/>
      <c r="I14" s="29">
        <f>task2!B120</f>
        <v>5.6093033000000094</v>
      </c>
      <c r="J14" s="26"/>
      <c r="K14" s="27">
        <f t="shared" si="0"/>
        <v>0.14838208859182772</v>
      </c>
      <c r="L14" s="29"/>
      <c r="M14" s="27">
        <f t="shared" si="2"/>
        <v>0.54931872621169353</v>
      </c>
      <c r="N14" s="26"/>
      <c r="O14" s="27">
        <f t="shared" si="1"/>
        <v>0.46071187856564871</v>
      </c>
      <c r="R14" s="26" t="s">
        <v>38</v>
      </c>
      <c r="S14" s="27"/>
      <c r="T14" s="59" t="s">
        <v>191</v>
      </c>
      <c r="U14" s="59" t="s">
        <v>192</v>
      </c>
      <c r="V14" s="59" t="s">
        <v>193</v>
      </c>
      <c r="W14">
        <v>9</v>
      </c>
      <c r="X14" s="94">
        <f>task4!AB35</f>
        <v>35.40734390895387</v>
      </c>
      <c r="Z14" s="42">
        <f>task4!AI272</f>
        <v>152.20631783336927</v>
      </c>
    </row>
    <row r="15" spans="1:26" x14ac:dyDescent="0.35">
      <c r="W15">
        <v>10</v>
      </c>
      <c r="X15" s="94">
        <f>task4!AB36</f>
        <v>67.593348325666625</v>
      </c>
      <c r="Z15" s="42">
        <f>task4!AI273</f>
        <v>30.844799975803511</v>
      </c>
    </row>
    <row r="16" spans="1:26" x14ac:dyDescent="0.35">
      <c r="S16" t="s">
        <v>420</v>
      </c>
      <c r="W16">
        <v>11</v>
      </c>
      <c r="X16" s="94">
        <f>task4!AB37</f>
        <v>78.658327437671318</v>
      </c>
      <c r="Z16" s="42">
        <f>task4!AI274</f>
        <v>95.230279120506623</v>
      </c>
    </row>
    <row r="17" spans="4:26" x14ac:dyDescent="0.35">
      <c r="W17">
        <v>12</v>
      </c>
      <c r="X17" s="94">
        <f>task4!AB38</f>
        <v>19.186423668041432</v>
      </c>
      <c r="Z17" s="42">
        <f>task4!AI275</f>
        <v>0</v>
      </c>
    </row>
    <row r="18" spans="4:26" ht="15" thickBot="1" x14ac:dyDescent="0.4">
      <c r="W18">
        <v>13</v>
      </c>
      <c r="X18" s="94">
        <f>task4!AB39</f>
        <v>30.947210999999999</v>
      </c>
      <c r="Z18" s="42">
        <f>task4!AI276</f>
        <v>101.86399998371419</v>
      </c>
    </row>
    <row r="19" spans="4:26" ht="15" thickBot="1" x14ac:dyDescent="0.4">
      <c r="D19" s="3" t="s">
        <v>113</v>
      </c>
      <c r="E19" s="3" t="s">
        <v>434</v>
      </c>
      <c r="F19" s="3" t="s">
        <v>444</v>
      </c>
      <c r="H19" s="3" t="s">
        <v>113</v>
      </c>
      <c r="I19" s="3" t="s">
        <v>434</v>
      </c>
      <c r="J19" s="3" t="s">
        <v>444</v>
      </c>
      <c r="W19">
        <v>14</v>
      </c>
      <c r="X19" s="94">
        <f>task4!AB40</f>
        <v>0</v>
      </c>
      <c r="Z19" s="42">
        <f>task4!AI277</f>
        <v>0</v>
      </c>
    </row>
    <row r="20" spans="4:26" x14ac:dyDescent="0.35">
      <c r="D20" s="22" t="s">
        <v>35</v>
      </c>
      <c r="E20" s="54">
        <f t="shared" ref="E20:E29" si="3">G5+K5</f>
        <v>0.11878816424446961</v>
      </c>
      <c r="F20" s="54">
        <v>0.24824658630395743</v>
      </c>
      <c r="G20" t="s">
        <v>435</v>
      </c>
      <c r="H20" s="226" t="s">
        <v>35</v>
      </c>
      <c r="I20" s="227">
        <v>0.37451728310182308</v>
      </c>
      <c r="J20" s="226">
        <v>0.24824658630395743</v>
      </c>
      <c r="W20">
        <v>15</v>
      </c>
      <c r="X20" s="94">
        <f>task4!AB41</f>
        <v>31.713404999999998</v>
      </c>
      <c r="Z20" s="42">
        <f>task4!AI278</f>
        <v>101.86399999621611</v>
      </c>
    </row>
    <row r="21" spans="4:26" x14ac:dyDescent="0.35">
      <c r="D21" s="24" t="s">
        <v>63</v>
      </c>
      <c r="E21" s="62">
        <f t="shared" si="3"/>
        <v>0.28642767944100445</v>
      </c>
      <c r="F21" s="62">
        <v>1.3267474662072547</v>
      </c>
      <c r="H21" s="239" t="s">
        <v>63</v>
      </c>
      <c r="I21" s="240">
        <v>0.31918237345990014</v>
      </c>
      <c r="J21" s="239">
        <v>1.3267474662072547</v>
      </c>
      <c r="W21">
        <v>16</v>
      </c>
      <c r="X21" s="94">
        <f>task4!AB42</f>
        <v>0</v>
      </c>
      <c r="Z21" s="42">
        <f>task4!AI279</f>
        <v>0</v>
      </c>
    </row>
    <row r="22" spans="4:26" x14ac:dyDescent="0.35">
      <c r="D22" s="24" t="s">
        <v>34</v>
      </c>
      <c r="E22" s="62">
        <f t="shared" si="3"/>
        <v>0.1167909554619698</v>
      </c>
      <c r="F22" s="62">
        <v>0.14015420882016391</v>
      </c>
      <c r="H22" s="226" t="s">
        <v>34</v>
      </c>
      <c r="I22" s="227">
        <v>0.28642767944100445</v>
      </c>
      <c r="J22" s="226">
        <v>0.14015420882016391</v>
      </c>
      <c r="W22">
        <v>17</v>
      </c>
      <c r="X22" s="94">
        <f>task4!AB43</f>
        <v>24.818525000000001</v>
      </c>
      <c r="Z22" s="42">
        <f>task4!AI280</f>
        <v>154.51827589908572</v>
      </c>
    </row>
    <row r="23" spans="4:26" ht="15" thickBot="1" x14ac:dyDescent="0.4">
      <c r="D23" s="24" t="s">
        <v>38</v>
      </c>
      <c r="E23" s="62">
        <f t="shared" si="3"/>
        <v>0.37451728310182308</v>
      </c>
      <c r="F23" s="62">
        <v>0.54931872621169353</v>
      </c>
      <c r="H23" s="32" t="s">
        <v>38</v>
      </c>
      <c r="I23" s="131">
        <v>0.27514436660902908</v>
      </c>
      <c r="J23" s="32">
        <v>0.54931872621169353</v>
      </c>
      <c r="W23">
        <v>18</v>
      </c>
      <c r="X23" s="47">
        <f>task4!AB44</f>
        <v>53.8626</v>
      </c>
      <c r="Z23" s="10">
        <f>task4!AI281</f>
        <v>147.54205474376735</v>
      </c>
    </row>
    <row r="24" spans="4:26" x14ac:dyDescent="0.35">
      <c r="D24" s="24" t="s">
        <v>36</v>
      </c>
      <c r="E24" s="62">
        <f t="shared" si="3"/>
        <v>3.7331726369269347E-2</v>
      </c>
      <c r="F24" s="62">
        <v>0.14278591694047119</v>
      </c>
      <c r="H24" s="226" t="s">
        <v>36</v>
      </c>
      <c r="I24" s="227">
        <v>0.24025410303711042</v>
      </c>
      <c r="J24" s="226">
        <v>0.14278591694047119</v>
      </c>
    </row>
    <row r="25" spans="4:26" x14ac:dyDescent="0.35">
      <c r="D25" s="24" t="s">
        <v>65</v>
      </c>
      <c r="E25" s="62">
        <f t="shared" si="3"/>
        <v>0.24025410303711042</v>
      </c>
      <c r="F25" s="62">
        <v>8.8516570062784516E-2</v>
      </c>
      <c r="H25" s="226" t="s">
        <v>65</v>
      </c>
      <c r="I25" s="227">
        <v>0.21315697611558482</v>
      </c>
      <c r="J25" s="226">
        <v>8.8516570062784516E-2</v>
      </c>
    </row>
    <row r="26" spans="4:26" x14ac:dyDescent="0.35">
      <c r="D26" s="24" t="s">
        <v>37</v>
      </c>
      <c r="E26" s="62">
        <f t="shared" si="3"/>
        <v>0.31918237345990014</v>
      </c>
      <c r="F26" s="62">
        <v>0.57520691425452586</v>
      </c>
      <c r="H26" s="226" t="s">
        <v>37</v>
      </c>
      <c r="I26" s="227">
        <v>0.1874693618423951</v>
      </c>
      <c r="J26" s="226">
        <v>0.57520691425452586</v>
      </c>
    </row>
    <row r="27" spans="4:26" x14ac:dyDescent="0.35">
      <c r="D27" s="24" t="s">
        <v>32</v>
      </c>
      <c r="E27" s="62">
        <f t="shared" si="3"/>
        <v>0.1874693618423951</v>
      </c>
      <c r="F27" s="62">
        <v>0.14685914587354348</v>
      </c>
      <c r="H27" s="226" t="s">
        <v>32</v>
      </c>
      <c r="I27" s="227">
        <v>0.11878816424446961</v>
      </c>
      <c r="J27" s="226">
        <v>0.14685914587354348</v>
      </c>
    </row>
    <row r="28" spans="4:26" x14ac:dyDescent="0.35">
      <c r="D28" s="24" t="s">
        <v>33</v>
      </c>
      <c r="E28" s="62">
        <f t="shared" si="3"/>
        <v>0.21315697611558482</v>
      </c>
      <c r="F28" s="62">
        <v>0.44496574363909824</v>
      </c>
      <c r="H28" s="226" t="s">
        <v>33</v>
      </c>
      <c r="I28" s="227">
        <v>0.1167909554619698</v>
      </c>
      <c r="J28" s="226">
        <v>0.44496574363909824</v>
      </c>
    </row>
    <row r="29" spans="4:26" ht="15" thickBot="1" x14ac:dyDescent="0.4">
      <c r="D29" s="26" t="s">
        <v>129</v>
      </c>
      <c r="E29" s="59">
        <f t="shared" si="3"/>
        <v>0.27514436660902908</v>
      </c>
      <c r="F29" s="59">
        <v>1.9823899827733107E-2</v>
      </c>
      <c r="H29" s="226" t="s">
        <v>129</v>
      </c>
      <c r="I29" s="227">
        <v>3.7331726369269347E-2</v>
      </c>
      <c r="J29" s="226">
        <v>1.9823899827733107E-2</v>
      </c>
    </row>
  </sheetData>
  <sortState xmlns:xlrd2="http://schemas.microsoft.com/office/spreadsheetml/2017/richdata2" ref="D19:J29">
    <sortCondition descending="1" ref="I20:I29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0CFF-E39C-4AAA-87F6-A3AD154B88DF}">
  <dimension ref="A1:Q43"/>
  <sheetViews>
    <sheetView tabSelected="1" topLeftCell="I1" zoomScale="70" zoomScaleNormal="70" workbookViewId="0">
      <selection activeCell="M32" sqref="M32"/>
    </sheetView>
  </sheetViews>
  <sheetFormatPr defaultRowHeight="14.5" x14ac:dyDescent="0.35"/>
  <cols>
    <col min="1" max="1" width="36.81640625" customWidth="1"/>
    <col min="2" max="2" width="9.54296875" bestFit="1" customWidth="1"/>
    <col min="3" max="3" width="18.453125" bestFit="1" customWidth="1"/>
    <col min="4" max="4" width="24" customWidth="1"/>
    <col min="5" max="6" width="23.7265625" customWidth="1"/>
    <col min="7" max="7" width="26.1796875" bestFit="1" customWidth="1"/>
    <col min="8" max="8" width="35.90625" bestFit="1" customWidth="1"/>
    <col min="9" max="10" width="18.08984375" bestFit="1" customWidth="1"/>
    <col min="11" max="11" width="30.6328125" bestFit="1" customWidth="1"/>
    <col min="12" max="12" width="30.6328125" customWidth="1"/>
    <col min="13" max="13" width="46.90625" bestFit="1" customWidth="1"/>
    <col min="14" max="14" width="26.54296875" bestFit="1" customWidth="1"/>
    <col min="15" max="15" width="33.26953125" customWidth="1"/>
    <col min="16" max="16" width="45.453125" customWidth="1"/>
    <col min="17" max="17" width="14.36328125" customWidth="1"/>
  </cols>
  <sheetData>
    <row r="1" spans="1:17" ht="26.5" thickBot="1" x14ac:dyDescent="0.65">
      <c r="A1" s="247" t="s">
        <v>445</v>
      </c>
      <c r="B1" s="12"/>
      <c r="C1" s="12"/>
      <c r="D1" s="12"/>
      <c r="E1" s="12"/>
      <c r="F1" s="12"/>
      <c r="G1" s="12"/>
    </row>
    <row r="2" spans="1:17" ht="15" thickBot="1" x14ac:dyDescent="0.4">
      <c r="A2" s="12"/>
      <c r="B2" s="12"/>
      <c r="C2" s="12"/>
      <c r="D2" s="12"/>
      <c r="E2" s="12"/>
      <c r="F2" s="12"/>
      <c r="G2" s="12"/>
      <c r="M2" s="263" t="s">
        <v>476</v>
      </c>
    </row>
    <row r="3" spans="1:17" ht="15" thickBot="1" x14ac:dyDescent="0.4">
      <c r="C3" s="12"/>
      <c r="D3" s="12"/>
      <c r="E3" s="12"/>
      <c r="F3" s="12"/>
      <c r="G3" s="12"/>
      <c r="Q3" s="219" t="s">
        <v>468</v>
      </c>
    </row>
    <row r="4" spans="1:17" ht="15" thickBot="1" x14ac:dyDescent="0.4">
      <c r="C4" s="12"/>
      <c r="D4" s="12"/>
      <c r="E4" s="12"/>
      <c r="F4" s="12"/>
      <c r="G4" s="12"/>
      <c r="J4" s="249" t="s">
        <v>463</v>
      </c>
      <c r="K4" s="249" t="s">
        <v>466</v>
      </c>
      <c r="L4" s="249" t="s">
        <v>475</v>
      </c>
      <c r="M4" s="249" t="s">
        <v>467</v>
      </c>
      <c r="N4" s="252" t="s">
        <v>465</v>
      </c>
      <c r="O4" s="250" t="s">
        <v>464</v>
      </c>
      <c r="P4" s="251" t="s">
        <v>474</v>
      </c>
      <c r="Q4" s="251">
        <v>199.27570143489581</v>
      </c>
    </row>
    <row r="5" spans="1:17" ht="15" thickBot="1" x14ac:dyDescent="0.4">
      <c r="A5" s="248" t="s">
        <v>446</v>
      </c>
      <c r="B5" s="12"/>
      <c r="C5" s="12"/>
      <c r="J5" s="9">
        <v>0</v>
      </c>
      <c r="K5" s="9">
        <f>$E$9*J5</f>
        <v>0</v>
      </c>
      <c r="L5" s="9">
        <f>K5/$D$7</f>
        <v>0</v>
      </c>
      <c r="M5" s="9">
        <f>L5/$B$13</f>
        <v>0</v>
      </c>
      <c r="N5" s="9">
        <f>task4!$J$289+'DESIGN IMPROVEMENT'!M5</f>
        <v>30.844799999999992</v>
      </c>
      <c r="O5" s="9">
        <v>149</v>
      </c>
      <c r="P5" s="261">
        <f>(O5-$Q$4)/(O5)</f>
        <v>-0.33742081499930071</v>
      </c>
      <c r="Q5" s="126"/>
    </row>
    <row r="6" spans="1:17" x14ac:dyDescent="0.35">
      <c r="A6" s="22" t="s">
        <v>447</v>
      </c>
      <c r="B6" s="243">
        <v>16</v>
      </c>
      <c r="C6" s="28"/>
      <c r="D6" s="28" t="s">
        <v>454</v>
      </c>
      <c r="E6" s="28" t="s">
        <v>455</v>
      </c>
      <c r="F6" s="244" t="s">
        <v>458</v>
      </c>
      <c r="G6" s="244" t="s">
        <v>459</v>
      </c>
      <c r="H6" s="245" t="s">
        <v>460</v>
      </c>
      <c r="J6" s="42">
        <v>13</v>
      </c>
      <c r="K6" s="42">
        <f t="shared" ref="K6:K15" si="0">$E$9*J6</f>
        <v>838794.52800000005</v>
      </c>
      <c r="L6" s="42">
        <f t="shared" ref="L6:L15" si="1">K6/$D$7</f>
        <v>3.5750000000000004E-2</v>
      </c>
      <c r="M6" s="42">
        <f t="shared" ref="M6:M15" si="2">L6/$B$13</f>
        <v>2.4826388888888893</v>
      </c>
      <c r="N6" s="42">
        <f>task4!$J$289+'DESIGN IMPROVEMENT'!M6</f>
        <v>33.327438888888878</v>
      </c>
      <c r="O6" s="42">
        <v>152.46</v>
      </c>
      <c r="P6" s="262">
        <f>(O6-$Q$4)/(O6)</f>
        <v>-0.30706874875308798</v>
      </c>
      <c r="Q6" s="126"/>
    </row>
    <row r="7" spans="1:17" x14ac:dyDescent="0.35">
      <c r="A7" s="152" t="s">
        <v>448</v>
      </c>
      <c r="B7" s="157">
        <v>44</v>
      </c>
      <c r="C7" s="12"/>
      <c r="D7" s="157">
        <f>B8*B10*B11*B12</f>
        <v>23462784</v>
      </c>
      <c r="E7" s="157">
        <f>B9*B10*B11*B12</f>
        <v>64522656</v>
      </c>
      <c r="F7" s="157">
        <f>E9*B14</f>
        <v>838794.52800000005</v>
      </c>
      <c r="G7" s="157">
        <f>F7/D7</f>
        <v>3.5750000000000004E-2</v>
      </c>
      <c r="H7" s="153">
        <f>G7/B13</f>
        <v>2.4826388888888893</v>
      </c>
      <c r="J7" s="42">
        <v>26</v>
      </c>
      <c r="K7" s="42">
        <f t="shared" si="0"/>
        <v>1677589.0560000001</v>
      </c>
      <c r="L7" s="42">
        <f t="shared" si="1"/>
        <v>7.1500000000000008E-2</v>
      </c>
      <c r="M7" s="42">
        <f t="shared" si="2"/>
        <v>4.9652777777777786</v>
      </c>
      <c r="N7" s="42">
        <f>task4!$J$289+'DESIGN IMPROVEMENT'!M7</f>
        <v>35.810077777777771</v>
      </c>
      <c r="O7" s="42">
        <v>156.75</v>
      </c>
      <c r="P7" s="262">
        <f>(O7-$Q$4)/(O7)</f>
        <v>-0.27129634089247723</v>
      </c>
      <c r="Q7" s="126"/>
    </row>
    <row r="8" spans="1:17" x14ac:dyDescent="0.35">
      <c r="A8" s="152" t="s">
        <v>449</v>
      </c>
      <c r="B8" s="157">
        <f>task2!I17</f>
        <v>1.24</v>
      </c>
      <c r="C8" s="12"/>
      <c r="D8" s="12"/>
      <c r="E8" s="12" t="s">
        <v>456</v>
      </c>
      <c r="F8" s="12"/>
      <c r="G8" s="12"/>
      <c r="H8" s="25"/>
      <c r="J8" s="42">
        <v>52</v>
      </c>
      <c r="K8" s="42">
        <f t="shared" si="0"/>
        <v>3355178.1120000002</v>
      </c>
      <c r="L8" s="42">
        <f t="shared" si="1"/>
        <v>0.14300000000000002</v>
      </c>
      <c r="M8" s="42">
        <f t="shared" si="2"/>
        <v>9.9305555555555571</v>
      </c>
      <c r="N8" s="42">
        <f>task4!$J$289+'DESIGN IMPROVEMENT'!M8</f>
        <v>40.775355555555549</v>
      </c>
      <c r="O8" s="42">
        <v>165.33</v>
      </c>
      <c r="P8" s="262">
        <f>(O8-$Q$4)/(O8)</f>
        <v>-0.20532088208368593</v>
      </c>
      <c r="Q8" s="126"/>
    </row>
    <row r="9" spans="1:17" x14ac:dyDescent="0.35">
      <c r="A9" s="152" t="s">
        <v>450</v>
      </c>
      <c r="B9" s="241">
        <f>(B8/B6)*B7</f>
        <v>3.41</v>
      </c>
      <c r="C9" s="12"/>
      <c r="D9" s="12"/>
      <c r="E9" s="157">
        <f>E7/1000</f>
        <v>64522.656000000003</v>
      </c>
      <c r="F9" s="12"/>
      <c r="G9" s="12"/>
      <c r="H9" s="25"/>
      <c r="J9" s="42">
        <v>104</v>
      </c>
      <c r="K9" s="42">
        <f t="shared" si="0"/>
        <v>6710356.2240000004</v>
      </c>
      <c r="L9" s="42">
        <f t="shared" si="1"/>
        <v>0.28600000000000003</v>
      </c>
      <c r="M9" s="42">
        <f t="shared" si="2"/>
        <v>19.861111111111114</v>
      </c>
      <c r="N9" s="42">
        <f>task4!$J$289+'DESIGN IMPROVEMENT'!M9</f>
        <v>50.705911111111106</v>
      </c>
      <c r="O9" s="42">
        <v>182.5</v>
      </c>
      <c r="P9" s="262">
        <f t="shared" ref="P9:P15" si="3">(O9-$Q$4)/(O9)</f>
        <v>-9.1921651698059229E-2</v>
      </c>
      <c r="Q9" s="126"/>
    </row>
    <row r="10" spans="1:17" ht="15" thickBot="1" x14ac:dyDescent="0.4">
      <c r="A10" s="152" t="s">
        <v>451</v>
      </c>
      <c r="B10" s="242">
        <f>task4!AT103</f>
        <v>0.6</v>
      </c>
      <c r="C10" s="12"/>
      <c r="D10" s="12"/>
      <c r="E10" s="12"/>
      <c r="F10" s="12"/>
      <c r="G10" s="12"/>
      <c r="H10" s="25"/>
      <c r="J10" s="42">
        <v>117</v>
      </c>
      <c r="K10" s="42">
        <f t="shared" si="0"/>
        <v>7549150.7520000003</v>
      </c>
      <c r="L10" s="42">
        <f t="shared" si="1"/>
        <v>0.32175000000000004</v>
      </c>
      <c r="M10" s="42">
        <f t="shared" si="2"/>
        <v>22.343750000000004</v>
      </c>
      <c r="N10" s="42">
        <f>task4!$J$289+'DESIGN IMPROVEMENT'!M10</f>
        <v>53.188549999999992</v>
      </c>
      <c r="O10" s="42">
        <v>186.79</v>
      </c>
      <c r="P10" s="262">
        <f t="shared" si="3"/>
        <v>-6.6843521788617258E-2</v>
      </c>
      <c r="Q10" s="126"/>
    </row>
    <row r="11" spans="1:17" ht="15" thickBot="1" x14ac:dyDescent="0.4">
      <c r="A11" s="152" t="s">
        <v>386</v>
      </c>
      <c r="B11" s="157">
        <v>8760</v>
      </c>
      <c r="C11" s="12"/>
      <c r="D11" s="12"/>
      <c r="E11" s="169" t="s">
        <v>461</v>
      </c>
      <c r="F11" s="170"/>
      <c r="G11" s="12"/>
      <c r="H11" s="25"/>
      <c r="J11" s="42">
        <v>130</v>
      </c>
      <c r="K11" s="42">
        <f t="shared" si="0"/>
        <v>8387945.2800000003</v>
      </c>
      <c r="L11" s="42">
        <f t="shared" si="1"/>
        <v>0.35749999999999998</v>
      </c>
      <c r="M11" s="42">
        <f t="shared" si="2"/>
        <v>24.826388888888889</v>
      </c>
      <c r="N11" s="42">
        <f>task4!$J$289+'DESIGN IMPROVEMENT'!M11</f>
        <v>55.671188888888878</v>
      </c>
      <c r="O11" s="42">
        <v>191.08</v>
      </c>
      <c r="P11" s="262">
        <f t="shared" si="3"/>
        <v>-4.2891466584131226E-2</v>
      </c>
      <c r="Q11" s="126"/>
    </row>
    <row r="12" spans="1:17" ht="15" thickBot="1" x14ac:dyDescent="0.4">
      <c r="A12" s="152" t="s">
        <v>452</v>
      </c>
      <c r="B12" s="157">
        <v>3600</v>
      </c>
      <c r="C12" s="12"/>
      <c r="D12" s="12"/>
      <c r="E12" s="106"/>
      <c r="F12" s="18">
        <f>task4!J289+H7</f>
        <v>33.327438888888878</v>
      </c>
      <c r="G12" s="12"/>
      <c r="H12" s="25"/>
      <c r="J12" s="42">
        <v>143</v>
      </c>
      <c r="K12" s="42">
        <f t="shared" si="0"/>
        <v>9226739.8080000002</v>
      </c>
      <c r="L12" s="42">
        <f t="shared" si="1"/>
        <v>0.39324999999999999</v>
      </c>
      <c r="M12" s="42">
        <f t="shared" si="2"/>
        <v>27.309027777777779</v>
      </c>
      <c r="N12" s="42">
        <f>task4!$J$289+'DESIGN IMPROVEMENT'!M12</f>
        <v>58.153827777777771</v>
      </c>
      <c r="O12" s="42">
        <v>195.37</v>
      </c>
      <c r="P12" s="262">
        <f t="shared" si="3"/>
        <v>-1.9991305906207724E-2</v>
      </c>
      <c r="Q12" s="126"/>
    </row>
    <row r="13" spans="1:17" x14ac:dyDescent="0.35">
      <c r="A13" s="152" t="s">
        <v>453</v>
      </c>
      <c r="B13" s="157">
        <v>1.44E-2</v>
      </c>
      <c r="C13" s="12"/>
      <c r="D13" s="12"/>
      <c r="E13" s="12"/>
      <c r="F13" s="12"/>
      <c r="G13" s="12"/>
      <c r="H13" s="25"/>
      <c r="J13" s="42">
        <v>173</v>
      </c>
      <c r="K13" s="42">
        <f t="shared" si="0"/>
        <v>11162419.488</v>
      </c>
      <c r="L13" s="42">
        <f t="shared" si="1"/>
        <v>0.47575000000000001</v>
      </c>
      <c r="M13" s="42">
        <f t="shared" si="2"/>
        <v>33.038194444444443</v>
      </c>
      <c r="N13" s="42">
        <f>task4!$J$289+'DESIGN IMPROVEMENT'!M13</f>
        <v>63.882994444444435</v>
      </c>
      <c r="O13" s="42">
        <v>205.28</v>
      </c>
      <c r="P13" s="42">
        <f t="shared" si="3"/>
        <v>2.9249311014732039E-2</v>
      </c>
      <c r="Q13" s="126"/>
    </row>
    <row r="14" spans="1:17" ht="15" thickBot="1" x14ac:dyDescent="0.4">
      <c r="A14" s="103" t="s">
        <v>457</v>
      </c>
      <c r="B14" s="246">
        <v>13</v>
      </c>
      <c r="C14" s="29"/>
      <c r="D14" s="29"/>
      <c r="E14" s="29"/>
      <c r="F14" s="29"/>
      <c r="G14" s="29"/>
      <c r="H14" s="27"/>
      <c r="J14" s="42">
        <v>150</v>
      </c>
      <c r="K14" s="42">
        <f t="shared" si="0"/>
        <v>9678398.4000000004</v>
      </c>
      <c r="L14" s="42">
        <f t="shared" si="1"/>
        <v>0.41250000000000003</v>
      </c>
      <c r="M14" s="42">
        <f t="shared" si="2"/>
        <v>28.645833333333336</v>
      </c>
      <c r="N14" s="42">
        <f>task4!$J$289+'DESIGN IMPROVEMENT'!M14</f>
        <v>59.490633333333328</v>
      </c>
      <c r="O14" s="42">
        <v>197.69</v>
      </c>
      <c r="P14" s="42">
        <f t="shared" si="3"/>
        <v>-8.0211514740037952E-3</v>
      </c>
      <c r="Q14" s="126"/>
    </row>
    <row r="15" spans="1:17" ht="15" thickBot="1" x14ac:dyDescent="0.4">
      <c r="A15" s="12"/>
      <c r="B15" s="12"/>
      <c r="C15" s="12"/>
      <c r="D15" s="12"/>
      <c r="E15" s="12"/>
      <c r="F15" s="12"/>
      <c r="G15" s="12"/>
      <c r="J15" s="203">
        <v>155</v>
      </c>
      <c r="K15" s="203">
        <f t="shared" si="0"/>
        <v>10001011.68</v>
      </c>
      <c r="L15" s="203">
        <f t="shared" si="1"/>
        <v>0.42624999999999996</v>
      </c>
      <c r="M15" s="203">
        <f t="shared" si="2"/>
        <v>29.600694444444443</v>
      </c>
      <c r="N15" s="203">
        <f>task4!$J$289+'DESIGN IMPROVEMENT'!M15</f>
        <v>60.445494444444435</v>
      </c>
      <c r="O15" s="203">
        <v>199.34</v>
      </c>
      <c r="P15" s="203">
        <f t="shared" si="3"/>
        <v>3.2255726449380659E-4</v>
      </c>
      <c r="Q15" s="126"/>
    </row>
    <row r="16" spans="1:17" ht="15" thickBot="1" x14ac:dyDescent="0.4">
      <c r="A16" s="248" t="s">
        <v>446</v>
      </c>
      <c r="B16" s="12"/>
      <c r="C16" s="12"/>
      <c r="J16" s="126"/>
      <c r="K16" s="126"/>
      <c r="L16" s="126"/>
      <c r="M16" s="126"/>
      <c r="N16" s="126"/>
      <c r="O16" s="126"/>
      <c r="P16" s="126"/>
      <c r="Q16" s="126"/>
    </row>
    <row r="17" spans="1:17" x14ac:dyDescent="0.35">
      <c r="A17" s="22" t="s">
        <v>447</v>
      </c>
      <c r="B17" s="243">
        <v>16</v>
      </c>
      <c r="C17" s="28"/>
      <c r="D17" s="28" t="s">
        <v>454</v>
      </c>
      <c r="E17" s="28" t="s">
        <v>455</v>
      </c>
      <c r="F17" s="244" t="s">
        <v>458</v>
      </c>
      <c r="G17" s="244" t="s">
        <v>459</v>
      </c>
      <c r="H17" s="245" t="s">
        <v>460</v>
      </c>
      <c r="J17" s="126"/>
      <c r="K17" s="126"/>
      <c r="L17" s="126"/>
      <c r="M17" s="126"/>
      <c r="N17" s="126"/>
      <c r="O17" s="126"/>
      <c r="P17" s="126"/>
      <c r="Q17" s="126"/>
    </row>
    <row r="18" spans="1:17" x14ac:dyDescent="0.35">
      <c r="A18" s="152" t="s">
        <v>448</v>
      </c>
      <c r="B18" s="157">
        <v>44</v>
      </c>
      <c r="C18" s="12"/>
      <c r="D18" s="157">
        <f>B19*B21*B22*B23</f>
        <v>24408864</v>
      </c>
      <c r="E18" s="157">
        <f>B20*B21*B22*B23</f>
        <v>67124376.000000015</v>
      </c>
      <c r="F18" s="157">
        <f>E20*B25</f>
        <v>872616.88800000027</v>
      </c>
      <c r="G18" s="157">
        <f>F18/D18</f>
        <v>3.5750000000000011E-2</v>
      </c>
      <c r="H18" s="153">
        <f>G18/B24</f>
        <v>2.4826388888888897</v>
      </c>
      <c r="J18" s="126"/>
      <c r="K18" s="126"/>
      <c r="L18" s="126"/>
      <c r="M18" s="126"/>
      <c r="N18" s="126"/>
      <c r="O18" s="126"/>
      <c r="P18" s="126"/>
      <c r="Q18" s="126"/>
    </row>
    <row r="19" spans="1:17" x14ac:dyDescent="0.35">
      <c r="A19" s="152" t="s">
        <v>449</v>
      </c>
      <c r="B19" s="157">
        <f>task2!L17</f>
        <v>1.29</v>
      </c>
      <c r="C19" s="12"/>
      <c r="D19" s="12"/>
      <c r="E19" s="12" t="s">
        <v>456</v>
      </c>
      <c r="F19" s="12"/>
      <c r="G19" s="12"/>
      <c r="H19" s="25"/>
      <c r="J19" s="126"/>
      <c r="K19" s="126"/>
      <c r="L19" s="126"/>
      <c r="M19" s="126"/>
      <c r="N19" s="126"/>
      <c r="O19" s="126"/>
      <c r="P19" s="126"/>
      <c r="Q19" s="126"/>
    </row>
    <row r="20" spans="1:17" x14ac:dyDescent="0.35">
      <c r="A20" s="152" t="s">
        <v>450</v>
      </c>
      <c r="B20" s="241">
        <f>(B19/B17)*B18</f>
        <v>3.5475000000000003</v>
      </c>
      <c r="C20" s="12"/>
      <c r="D20" s="12"/>
      <c r="E20" s="157">
        <f>E18/1000</f>
        <v>67124.376000000018</v>
      </c>
      <c r="F20" s="12"/>
      <c r="G20" s="12"/>
      <c r="H20" s="25"/>
      <c r="J20" s="126"/>
      <c r="K20" s="126"/>
      <c r="L20" s="126"/>
      <c r="M20" s="126"/>
      <c r="N20" s="126"/>
      <c r="O20" s="126"/>
      <c r="P20" s="126"/>
      <c r="Q20" s="126"/>
    </row>
    <row r="21" spans="1:17" ht="15" thickBot="1" x14ac:dyDescent="0.4">
      <c r="A21" s="152" t="s">
        <v>451</v>
      </c>
      <c r="B21" s="242">
        <f>task4!AT103</f>
        <v>0.6</v>
      </c>
      <c r="C21" s="12"/>
      <c r="D21" s="12"/>
      <c r="E21" s="12"/>
      <c r="F21" s="12"/>
      <c r="G21" s="12"/>
      <c r="H21" s="25"/>
      <c r="J21" s="126"/>
      <c r="K21" s="126"/>
      <c r="L21" s="126"/>
      <c r="M21" s="126"/>
      <c r="N21" s="126"/>
      <c r="O21" s="126"/>
      <c r="P21" s="126"/>
      <c r="Q21" s="126"/>
    </row>
    <row r="22" spans="1:17" ht="15" thickBot="1" x14ac:dyDescent="0.4">
      <c r="A22" s="152" t="s">
        <v>386</v>
      </c>
      <c r="B22" s="157">
        <v>8760</v>
      </c>
      <c r="C22" s="12"/>
      <c r="D22" s="12"/>
      <c r="E22" s="169" t="s">
        <v>462</v>
      </c>
      <c r="F22" s="170"/>
      <c r="G22" s="12"/>
      <c r="H22" s="25"/>
      <c r="J22" s="126"/>
      <c r="K22" s="126"/>
      <c r="L22" s="126"/>
      <c r="M22" s="126"/>
      <c r="N22" s="126"/>
      <c r="O22" s="126"/>
      <c r="P22" s="126"/>
      <c r="Q22" s="126"/>
    </row>
    <row r="23" spans="1:17" ht="15" thickBot="1" x14ac:dyDescent="0.4">
      <c r="A23" s="152" t="s">
        <v>452</v>
      </c>
      <c r="B23" s="157">
        <v>3600</v>
      </c>
      <c r="C23" s="12"/>
      <c r="D23" s="12"/>
      <c r="E23" s="106"/>
      <c r="F23" s="18">
        <f>task4!J289+H18</f>
        <v>33.327438888888885</v>
      </c>
      <c r="G23" s="12"/>
      <c r="H23" s="25"/>
      <c r="J23" s="126"/>
      <c r="K23" s="126"/>
      <c r="L23" s="126"/>
      <c r="M23" s="126"/>
      <c r="N23" s="126"/>
      <c r="O23" s="126"/>
      <c r="P23" s="126"/>
      <c r="Q23" s="126"/>
    </row>
    <row r="24" spans="1:17" x14ac:dyDescent="0.35">
      <c r="A24" s="152" t="s">
        <v>453</v>
      </c>
      <c r="B24" s="157">
        <v>1.44E-2</v>
      </c>
      <c r="C24" s="12"/>
      <c r="D24" s="12"/>
      <c r="E24" s="12"/>
      <c r="F24" s="12"/>
      <c r="G24" s="12"/>
      <c r="H24" s="25"/>
      <c r="J24" s="126"/>
      <c r="K24" s="126"/>
      <c r="L24" s="126"/>
      <c r="M24" s="126"/>
      <c r="N24" s="126"/>
      <c r="O24" s="126"/>
      <c r="P24" s="126"/>
      <c r="Q24" s="126"/>
    </row>
    <row r="25" spans="1:17" ht="15" thickBot="1" x14ac:dyDescent="0.4">
      <c r="A25" s="103" t="s">
        <v>457</v>
      </c>
      <c r="B25" s="246">
        <v>13</v>
      </c>
      <c r="C25" s="29"/>
      <c r="D25" s="29"/>
      <c r="E25" s="29"/>
      <c r="F25" s="29"/>
      <c r="G25" s="29"/>
      <c r="H25" s="27"/>
      <c r="J25" s="126"/>
      <c r="K25" s="126"/>
      <c r="L25" s="126"/>
      <c r="M25" s="126"/>
      <c r="N25" s="126"/>
      <c r="O25" s="126"/>
      <c r="P25" s="126"/>
      <c r="Q25" s="126"/>
    </row>
    <row r="26" spans="1:17" x14ac:dyDescent="0.35">
      <c r="A26" s="12"/>
      <c r="B26" s="12"/>
      <c r="C26" s="12"/>
      <c r="D26" s="12"/>
      <c r="E26" s="12"/>
      <c r="F26" s="12"/>
      <c r="G26" s="12"/>
      <c r="J26" s="126"/>
      <c r="K26" s="126"/>
      <c r="L26" s="126"/>
      <c r="M26" s="126"/>
      <c r="N26" s="126"/>
      <c r="O26" s="126"/>
      <c r="P26" s="126"/>
      <c r="Q26" s="126"/>
    </row>
    <row r="27" spans="1:17" x14ac:dyDescent="0.35">
      <c r="A27" s="12"/>
      <c r="B27" s="12"/>
      <c r="C27" s="12"/>
      <c r="D27" s="12"/>
      <c r="E27" s="12"/>
      <c r="F27" s="12"/>
      <c r="G27" s="12"/>
      <c r="J27" s="126"/>
      <c r="K27" s="126"/>
      <c r="L27" s="126"/>
      <c r="M27" s="126"/>
      <c r="N27" s="126"/>
      <c r="O27" s="126"/>
      <c r="P27" s="126"/>
      <c r="Q27" s="126"/>
    </row>
    <row r="28" spans="1:17" x14ac:dyDescent="0.35">
      <c r="J28" s="126"/>
      <c r="K28" s="126"/>
      <c r="L28" s="126"/>
      <c r="M28" s="126"/>
      <c r="N28" s="126"/>
      <c r="O28" s="126"/>
      <c r="P28" s="126"/>
      <c r="Q28" s="126"/>
    </row>
    <row r="29" spans="1:17" x14ac:dyDescent="0.35">
      <c r="J29" s="126"/>
      <c r="K29" s="126"/>
      <c r="L29" s="126"/>
      <c r="M29" s="126"/>
      <c r="N29" s="126"/>
      <c r="O29" s="126"/>
      <c r="P29" s="126"/>
      <c r="Q29" s="126"/>
    </row>
    <row r="36" spans="2:7" x14ac:dyDescent="0.35">
      <c r="B36" s="12"/>
      <c r="C36" s="12"/>
      <c r="D36" s="12"/>
      <c r="E36" s="12"/>
      <c r="F36" s="12"/>
      <c r="G36" s="12"/>
    </row>
    <row r="37" spans="2:7" x14ac:dyDescent="0.35">
      <c r="B37" s="12"/>
      <c r="C37" s="12"/>
      <c r="D37" s="12"/>
      <c r="E37" s="12"/>
      <c r="F37" s="12"/>
      <c r="G37" s="12"/>
    </row>
    <row r="38" spans="2:7" x14ac:dyDescent="0.35">
      <c r="B38" s="12"/>
      <c r="C38" s="12"/>
      <c r="D38" s="12"/>
      <c r="E38" s="12"/>
      <c r="F38" s="12"/>
      <c r="G38" s="12"/>
    </row>
    <row r="39" spans="2:7" x14ac:dyDescent="0.35">
      <c r="B39" s="12"/>
      <c r="C39" s="12"/>
      <c r="D39" s="12"/>
      <c r="E39" s="12"/>
      <c r="F39" s="12"/>
      <c r="G39" s="12"/>
    </row>
    <row r="40" spans="2:7" x14ac:dyDescent="0.35">
      <c r="B40" s="12"/>
      <c r="C40" s="12"/>
      <c r="D40" s="12"/>
      <c r="E40" s="12"/>
      <c r="F40" s="12"/>
      <c r="G40" s="12"/>
    </row>
    <row r="41" spans="2:7" x14ac:dyDescent="0.35">
      <c r="B41" s="12"/>
      <c r="C41" s="12"/>
      <c r="D41" s="12"/>
      <c r="E41" s="12"/>
      <c r="F41" s="12"/>
      <c r="G41" s="12"/>
    </row>
    <row r="42" spans="2:7" x14ac:dyDescent="0.35">
      <c r="B42" s="12"/>
      <c r="C42" s="12"/>
      <c r="D42" s="12"/>
      <c r="E42" s="12"/>
      <c r="F42" s="12"/>
      <c r="G42" s="12"/>
    </row>
    <row r="43" spans="2:7" x14ac:dyDescent="0.35">
      <c r="B43" s="12"/>
      <c r="C43" s="12"/>
      <c r="D43" s="12"/>
      <c r="E43" s="12"/>
      <c r="F43" s="12"/>
      <c r="G4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360D-6708-4795-AF25-95ED68DF22FF}">
  <dimension ref="A1:AH45"/>
  <sheetViews>
    <sheetView zoomScale="85" zoomScaleNormal="85" workbookViewId="0">
      <selection activeCell="W19" sqref="W19"/>
    </sheetView>
  </sheetViews>
  <sheetFormatPr defaultRowHeight="14.5" x14ac:dyDescent="0.35"/>
  <cols>
    <col min="27" max="28" width="9.36328125" bestFit="1" customWidth="1"/>
    <col min="33" max="33" width="20.36328125" customWidth="1"/>
  </cols>
  <sheetData>
    <row r="1" spans="1:34" ht="15" thickBot="1" x14ac:dyDescent="0.4">
      <c r="A1" s="220" t="s">
        <v>384</v>
      </c>
      <c r="B1" s="253"/>
      <c r="C1" s="221"/>
      <c r="E1" t="s">
        <v>469</v>
      </c>
    </row>
    <row r="3" spans="1:34" ht="15" thickBot="1" x14ac:dyDescent="0.4"/>
    <row r="4" spans="1:34" ht="15" thickBot="1" x14ac:dyDescent="0.4">
      <c r="B4" s="54" t="s">
        <v>167</v>
      </c>
      <c r="C4" s="8"/>
      <c r="D4" s="1"/>
      <c r="E4" s="1"/>
      <c r="F4" s="1"/>
      <c r="G4" s="1"/>
      <c r="H4" s="1" t="s">
        <v>114</v>
      </c>
      <c r="I4" s="1"/>
      <c r="J4" s="1"/>
      <c r="K4" s="1"/>
      <c r="L4" s="1"/>
      <c r="M4" s="1"/>
      <c r="N4" s="1"/>
      <c r="O4" s="2"/>
      <c r="P4" s="8"/>
      <c r="Q4" s="1" t="s">
        <v>115</v>
      </c>
      <c r="R4" s="1"/>
      <c r="S4" s="1"/>
      <c r="T4" s="1"/>
      <c r="U4" s="2"/>
      <c r="W4" s="3" t="s">
        <v>470</v>
      </c>
      <c r="Y4" s="3" t="s">
        <v>411</v>
      </c>
      <c r="Z4" s="3" t="s">
        <v>415</v>
      </c>
      <c r="AA4" s="40" t="s">
        <v>472</v>
      </c>
      <c r="AB4" s="3" t="s">
        <v>412</v>
      </c>
    </row>
    <row r="5" spans="1:34" ht="15" thickBot="1" x14ac:dyDescent="0.4">
      <c r="B5" s="59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 t="s">
        <v>389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 t="s">
        <v>103</v>
      </c>
      <c r="Q5" s="3" t="s">
        <v>471</v>
      </c>
      <c r="R5" s="3" t="s">
        <v>105</v>
      </c>
      <c r="S5" s="3" t="s">
        <v>106</v>
      </c>
      <c r="T5" s="3" t="s">
        <v>107</v>
      </c>
      <c r="U5" s="3" t="s">
        <v>108</v>
      </c>
    </row>
    <row r="6" spans="1:34" ht="15" thickBot="1" x14ac:dyDescent="0.4">
      <c r="B6" s="54" t="s">
        <v>101</v>
      </c>
      <c r="C6" s="229">
        <v>1</v>
      </c>
      <c r="D6" s="157">
        <v>-1</v>
      </c>
      <c r="E6" s="157">
        <v>0</v>
      </c>
      <c r="F6" s="157">
        <v>0</v>
      </c>
      <c r="G6" s="157">
        <v>0</v>
      </c>
      <c r="H6" s="157">
        <v>0</v>
      </c>
      <c r="I6" s="157">
        <v>0</v>
      </c>
      <c r="J6" s="157">
        <v>0</v>
      </c>
      <c r="K6" s="157">
        <v>0</v>
      </c>
      <c r="L6" s="157">
        <v>0</v>
      </c>
      <c r="M6" s="157">
        <v>0</v>
      </c>
      <c r="N6" s="157">
        <v>0</v>
      </c>
      <c r="O6" s="157">
        <v>0</v>
      </c>
      <c r="P6" s="157">
        <v>1</v>
      </c>
      <c r="Q6" s="157">
        <v>0</v>
      </c>
      <c r="R6" s="157">
        <v>0</v>
      </c>
      <c r="S6" s="157">
        <v>0</v>
      </c>
      <c r="T6" s="157">
        <v>0</v>
      </c>
      <c r="U6" s="153">
        <v>0</v>
      </c>
      <c r="W6" s="54">
        <v>-5.1977419136877846E-2</v>
      </c>
      <c r="Y6" s="54" cm="1">
        <f t="array" ref="Y6:Y24">MMULT(C27:U45,W6:W24)</f>
        <v>0</v>
      </c>
      <c r="Z6" s="54">
        <f>Y6*3600</f>
        <v>0</v>
      </c>
      <c r="AA6" s="54">
        <v>0.48101223149101613</v>
      </c>
      <c r="AB6" s="54">
        <f>Z6/AA6</f>
        <v>0</v>
      </c>
      <c r="AE6" t="s">
        <v>473</v>
      </c>
      <c r="AH6" s="3">
        <f>(AB23*AH8+AB24*AH9)/(AH8+AH9)</f>
        <v>199.33624052036356</v>
      </c>
    </row>
    <row r="7" spans="1:34" x14ac:dyDescent="0.35">
      <c r="B7" s="62" t="s">
        <v>78</v>
      </c>
      <c r="C7" s="229">
        <v>0</v>
      </c>
      <c r="D7" s="157">
        <v>1</v>
      </c>
      <c r="E7" s="157">
        <v>-1</v>
      </c>
      <c r="F7" s="157">
        <v>0</v>
      </c>
      <c r="G7" s="157">
        <v>0</v>
      </c>
      <c r="H7" s="157">
        <v>0</v>
      </c>
      <c r="I7" s="157">
        <v>0</v>
      </c>
      <c r="J7" s="157">
        <v>0</v>
      </c>
      <c r="K7" s="157">
        <v>0</v>
      </c>
      <c r="L7" s="157">
        <v>0</v>
      </c>
      <c r="M7" s="157">
        <v>0</v>
      </c>
      <c r="N7" s="157">
        <v>0</v>
      </c>
      <c r="O7" s="157">
        <v>0</v>
      </c>
      <c r="P7" s="157">
        <v>0</v>
      </c>
      <c r="Q7" s="157">
        <v>-1</v>
      </c>
      <c r="R7" s="157">
        <v>0</v>
      </c>
      <c r="S7" s="157">
        <v>0</v>
      </c>
      <c r="T7" s="157">
        <v>0</v>
      </c>
      <c r="U7" s="153">
        <v>0</v>
      </c>
      <c r="W7" s="62">
        <v>-2.4889977600777709E-3</v>
      </c>
      <c r="Y7" s="62">
        <v>0.92764594727687777</v>
      </c>
      <c r="Z7" s="62">
        <f t="shared" ref="Z7:Z24" si="0">Y7*3600</f>
        <v>3339.5254101967598</v>
      </c>
      <c r="AA7" s="62">
        <v>29.067048730654776</v>
      </c>
      <c r="AB7" s="62">
        <f t="shared" ref="AB7:AB24" si="1">Z7/AA7</f>
        <v>114.8904190838893</v>
      </c>
    </row>
    <row r="8" spans="1:34" x14ac:dyDescent="0.35">
      <c r="B8" s="62" t="s">
        <v>77</v>
      </c>
      <c r="C8" s="229">
        <v>0</v>
      </c>
      <c r="D8" s="157">
        <v>0</v>
      </c>
      <c r="E8" s="157">
        <v>1</v>
      </c>
      <c r="F8" s="157">
        <v>-1</v>
      </c>
      <c r="G8" s="157">
        <v>0</v>
      </c>
      <c r="H8" s="157">
        <v>0</v>
      </c>
      <c r="I8" s="157">
        <v>0</v>
      </c>
      <c r="J8" s="157">
        <v>0</v>
      </c>
      <c r="K8" s="157">
        <v>0</v>
      </c>
      <c r="L8" s="157">
        <v>0</v>
      </c>
      <c r="M8" s="157">
        <v>0</v>
      </c>
      <c r="N8" s="157">
        <v>0</v>
      </c>
      <c r="O8" s="157">
        <v>0</v>
      </c>
      <c r="P8" s="157">
        <v>0</v>
      </c>
      <c r="Q8" s="157">
        <v>0</v>
      </c>
      <c r="R8" s="157">
        <v>1</v>
      </c>
      <c r="S8" s="157">
        <v>0</v>
      </c>
      <c r="T8" s="157">
        <v>0</v>
      </c>
      <c r="U8" s="153">
        <v>0</v>
      </c>
      <c r="W8" s="62">
        <v>-5.2745756573015508E-2</v>
      </c>
      <c r="Y8" s="62">
        <v>0.9301349450369556</v>
      </c>
      <c r="Z8" s="62">
        <f t="shared" si="0"/>
        <v>3348.4858021330401</v>
      </c>
      <c r="AA8" s="62">
        <v>20.170055680396015</v>
      </c>
      <c r="AB8" s="62">
        <f t="shared" si="1"/>
        <v>166.01271980560526</v>
      </c>
      <c r="AE8" t="s">
        <v>441</v>
      </c>
      <c r="AH8">
        <v>267329.0242156465</v>
      </c>
    </row>
    <row r="9" spans="1:34" x14ac:dyDescent="0.35">
      <c r="B9" s="62" t="s">
        <v>102</v>
      </c>
      <c r="C9" s="229">
        <v>0</v>
      </c>
      <c r="D9" s="157">
        <v>0</v>
      </c>
      <c r="E9" s="157">
        <v>0</v>
      </c>
      <c r="F9" s="157">
        <v>1</v>
      </c>
      <c r="G9" s="157">
        <v>-1</v>
      </c>
      <c r="H9" s="157">
        <v>0</v>
      </c>
      <c r="I9" s="157">
        <v>0</v>
      </c>
      <c r="J9" s="157">
        <v>0</v>
      </c>
      <c r="K9" s="157">
        <v>0</v>
      </c>
      <c r="L9" s="157">
        <v>0</v>
      </c>
      <c r="M9" s="157">
        <v>0</v>
      </c>
      <c r="N9" s="157">
        <v>0</v>
      </c>
      <c r="O9" s="157">
        <v>0</v>
      </c>
      <c r="P9" s="157">
        <v>0</v>
      </c>
      <c r="Q9" s="157">
        <v>0</v>
      </c>
      <c r="R9" s="157">
        <v>0</v>
      </c>
      <c r="S9" s="157">
        <v>-1</v>
      </c>
      <c r="T9" s="157">
        <v>0</v>
      </c>
      <c r="U9" s="153">
        <v>0</v>
      </c>
      <c r="W9" s="62">
        <v>-2.9384918650062573E-3</v>
      </c>
      <c r="Y9" s="62">
        <v>1.8802291146433046</v>
      </c>
      <c r="Z9" s="62">
        <f t="shared" si="0"/>
        <v>6768.8248127158968</v>
      </c>
      <c r="AA9" s="62">
        <v>49.620024079831602</v>
      </c>
      <c r="AB9" s="62">
        <f t="shared" si="1"/>
        <v>136.4131706551737</v>
      </c>
      <c r="AE9" t="s">
        <v>440</v>
      </c>
      <c r="AH9">
        <v>761314.47157319996</v>
      </c>
    </row>
    <row r="10" spans="1:34" x14ac:dyDescent="0.35">
      <c r="B10" s="62" t="s">
        <v>312</v>
      </c>
      <c r="C10" s="229">
        <v>0</v>
      </c>
      <c r="D10" s="157">
        <v>0</v>
      </c>
      <c r="E10" s="157">
        <v>0</v>
      </c>
      <c r="F10" s="157">
        <v>0</v>
      </c>
      <c r="G10" s="157">
        <v>1</v>
      </c>
      <c r="H10" s="157">
        <v>-1</v>
      </c>
      <c r="I10" s="157">
        <v>0</v>
      </c>
      <c r="J10" s="157">
        <v>0</v>
      </c>
      <c r="K10" s="157">
        <v>0</v>
      </c>
      <c r="L10" s="157">
        <v>0</v>
      </c>
      <c r="M10" s="157">
        <v>0</v>
      </c>
      <c r="N10" s="157">
        <v>0</v>
      </c>
      <c r="O10" s="157">
        <v>0</v>
      </c>
      <c r="P10" s="157">
        <v>0</v>
      </c>
      <c r="Q10" s="157">
        <v>0</v>
      </c>
      <c r="R10" s="157">
        <v>0</v>
      </c>
      <c r="S10" s="157">
        <v>0</v>
      </c>
      <c r="T10" s="157">
        <v>0</v>
      </c>
      <c r="U10" s="153">
        <v>0</v>
      </c>
      <c r="W10" s="62">
        <v>-3.7331726369269347E-2</v>
      </c>
      <c r="Y10" s="62">
        <v>1.8831676065083107</v>
      </c>
      <c r="Z10" s="62">
        <f t="shared" si="0"/>
        <v>6779.4033834299189</v>
      </c>
      <c r="AA10" s="62">
        <v>39.813905877634845</v>
      </c>
      <c r="AB10" s="62">
        <f t="shared" si="1"/>
        <v>170.27727458506394</v>
      </c>
    </row>
    <row r="11" spans="1:34" x14ac:dyDescent="0.35">
      <c r="B11" s="62" t="s">
        <v>36</v>
      </c>
      <c r="C11" s="229">
        <v>0</v>
      </c>
      <c r="D11" s="157">
        <v>0</v>
      </c>
      <c r="E11" s="157">
        <v>0</v>
      </c>
      <c r="F11" s="157">
        <v>0</v>
      </c>
      <c r="G11" s="157">
        <v>0</v>
      </c>
      <c r="H11" s="157">
        <v>1</v>
      </c>
      <c r="I11" s="157">
        <v>-1</v>
      </c>
      <c r="J11" s="157">
        <v>0</v>
      </c>
      <c r="K11" s="157">
        <v>0</v>
      </c>
      <c r="L11" s="157">
        <v>0</v>
      </c>
      <c r="M11" s="157">
        <v>0</v>
      </c>
      <c r="N11" s="157">
        <v>0</v>
      </c>
      <c r="O11" s="157">
        <v>0</v>
      </c>
      <c r="P11" s="157">
        <v>0</v>
      </c>
      <c r="Q11" s="157">
        <v>0</v>
      </c>
      <c r="R11" s="157">
        <v>0</v>
      </c>
      <c r="S11" s="157">
        <v>0</v>
      </c>
      <c r="T11" s="157">
        <v>0</v>
      </c>
      <c r="U11" s="153">
        <v>0</v>
      </c>
      <c r="W11" s="62">
        <v>-2.3723431997997829E-3</v>
      </c>
      <c r="Y11" s="62">
        <v>1.9204993328775801</v>
      </c>
      <c r="Z11" s="62">
        <f t="shared" si="0"/>
        <v>6913.7975983592887</v>
      </c>
      <c r="AA11" s="62">
        <v>39.813905877634845</v>
      </c>
      <c r="AB11" s="62">
        <f t="shared" si="1"/>
        <v>173.65283425364859</v>
      </c>
    </row>
    <row r="12" spans="1:34" x14ac:dyDescent="0.35">
      <c r="B12" s="62" t="s">
        <v>63</v>
      </c>
      <c r="C12" s="229">
        <v>0</v>
      </c>
      <c r="D12" s="157">
        <v>0</v>
      </c>
      <c r="E12" s="157">
        <v>0</v>
      </c>
      <c r="F12" s="157">
        <v>0</v>
      </c>
      <c r="G12" s="157">
        <v>0</v>
      </c>
      <c r="H12" s="157">
        <v>0</v>
      </c>
      <c r="I12" s="157">
        <v>1</v>
      </c>
      <c r="J12" s="157">
        <v>1</v>
      </c>
      <c r="K12" s="157">
        <v>-1</v>
      </c>
      <c r="L12" s="157">
        <v>0</v>
      </c>
      <c r="M12" s="157">
        <v>0</v>
      </c>
      <c r="N12" s="157">
        <v>0</v>
      </c>
      <c r="O12" s="157">
        <v>0</v>
      </c>
      <c r="P12" s="157">
        <v>0</v>
      </c>
      <c r="Q12" s="157">
        <v>0</v>
      </c>
      <c r="R12" s="157">
        <v>0</v>
      </c>
      <c r="S12" s="157">
        <v>0</v>
      </c>
      <c r="T12" s="157">
        <v>0</v>
      </c>
      <c r="U12" s="153">
        <v>0</v>
      </c>
      <c r="W12" s="62">
        <v>-3.0649159313868202E-3</v>
      </c>
      <c r="Y12" s="62">
        <v>1.9228716760773799</v>
      </c>
      <c r="Z12" s="62">
        <f t="shared" si="0"/>
        <v>6922.3380338785673</v>
      </c>
      <c r="AA12" s="62">
        <v>34.8823750552897</v>
      </c>
      <c r="AB12" s="62">
        <f t="shared" si="1"/>
        <v>198.44801344250317</v>
      </c>
    </row>
    <row r="13" spans="1:34" x14ac:dyDescent="0.35">
      <c r="B13" s="62" t="s">
        <v>37</v>
      </c>
      <c r="C13" s="229">
        <v>0</v>
      </c>
      <c r="D13" s="157">
        <v>0</v>
      </c>
      <c r="E13" s="157">
        <v>0</v>
      </c>
      <c r="F13" s="157">
        <v>0</v>
      </c>
      <c r="G13" s="157">
        <v>0</v>
      </c>
      <c r="H13" s="157">
        <v>0</v>
      </c>
      <c r="I13" s="157">
        <v>0</v>
      </c>
      <c r="J13" s="157">
        <v>0</v>
      </c>
      <c r="K13" s="157">
        <v>1</v>
      </c>
      <c r="L13" s="157">
        <v>-1</v>
      </c>
      <c r="M13" s="157">
        <v>0</v>
      </c>
      <c r="N13" s="157">
        <v>0</v>
      </c>
      <c r="O13" s="157">
        <v>0</v>
      </c>
      <c r="P13" s="157">
        <v>0</v>
      </c>
      <c r="Q13" s="157">
        <v>0</v>
      </c>
      <c r="R13" s="157">
        <v>0</v>
      </c>
      <c r="S13" s="157">
        <v>0</v>
      </c>
      <c r="T13" s="157">
        <v>-1</v>
      </c>
      <c r="U13" s="153">
        <v>0</v>
      </c>
      <c r="W13" s="62">
        <v>-7.9631193970225389E-2</v>
      </c>
      <c r="Y13" s="62">
        <v>1.0909312160354425</v>
      </c>
      <c r="Z13" s="62">
        <f t="shared" si="0"/>
        <v>3927.3523777275932</v>
      </c>
      <c r="AA13" s="62">
        <v>64.973451103741567</v>
      </c>
      <c r="AB13" s="62">
        <f t="shared" si="1"/>
        <v>60.445494444444435</v>
      </c>
    </row>
    <row r="14" spans="1:34" x14ac:dyDescent="0.35">
      <c r="B14" s="62" t="s">
        <v>65</v>
      </c>
      <c r="C14" s="229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1</v>
      </c>
      <c r="M14" s="157">
        <v>1</v>
      </c>
      <c r="N14" s="157">
        <v>-1</v>
      </c>
      <c r="O14" s="157">
        <v>0</v>
      </c>
      <c r="P14" s="157">
        <v>0</v>
      </c>
      <c r="Q14" s="157">
        <v>0</v>
      </c>
      <c r="R14" s="157">
        <v>0</v>
      </c>
      <c r="S14" s="157">
        <v>0</v>
      </c>
      <c r="T14" s="157">
        <v>0</v>
      </c>
      <c r="U14" s="153">
        <v>0</v>
      </c>
      <c r="W14" s="62">
        <v>-4.5915909885558687E-3</v>
      </c>
      <c r="Y14" s="62">
        <v>3.0168678080442093</v>
      </c>
      <c r="Z14" s="62">
        <f t="shared" si="0"/>
        <v>10860.724108959153</v>
      </c>
      <c r="AA14" s="62">
        <v>62.960698411220264</v>
      </c>
      <c r="AB14" s="62">
        <f t="shared" si="1"/>
        <v>172.50005770303935</v>
      </c>
    </row>
    <row r="15" spans="1:34" x14ac:dyDescent="0.35">
      <c r="B15" s="62" t="s">
        <v>38</v>
      </c>
      <c r="C15" s="229">
        <v>0</v>
      </c>
      <c r="D15" s="157">
        <v>0</v>
      </c>
      <c r="E15" s="157">
        <v>0</v>
      </c>
      <c r="F15" s="157">
        <v>0</v>
      </c>
      <c r="G15" s="157">
        <v>0</v>
      </c>
      <c r="H15" s="157">
        <v>0</v>
      </c>
      <c r="I15" s="157">
        <v>0</v>
      </c>
      <c r="J15" s="157">
        <v>0</v>
      </c>
      <c r="K15" s="157">
        <v>0</v>
      </c>
      <c r="L15" s="157">
        <v>0</v>
      </c>
      <c r="M15" s="157">
        <v>0</v>
      </c>
      <c r="N15" s="157">
        <v>1</v>
      </c>
      <c r="O15" s="157">
        <v>-1</v>
      </c>
      <c r="P15" s="157">
        <v>0</v>
      </c>
      <c r="Q15" s="157">
        <v>0</v>
      </c>
      <c r="R15" s="157">
        <v>0</v>
      </c>
      <c r="S15" s="157">
        <v>0</v>
      </c>
      <c r="T15" s="157">
        <v>0</v>
      </c>
      <c r="U15" s="153">
        <v>-1</v>
      </c>
      <c r="W15" s="62">
        <v>-0.12676227801720133</v>
      </c>
      <c r="Y15" s="62">
        <v>1.6966024631683059</v>
      </c>
      <c r="Z15" s="62">
        <f t="shared" si="0"/>
        <v>6107.7688674059009</v>
      </c>
      <c r="AA15" s="62">
        <v>35.40734390895387</v>
      </c>
      <c r="AB15" s="62">
        <f t="shared" si="1"/>
        <v>172.50005770303935</v>
      </c>
    </row>
    <row r="16" spans="1:34" x14ac:dyDescent="0.35">
      <c r="B16" s="62" t="s">
        <v>139</v>
      </c>
      <c r="C16" s="229">
        <v>1</v>
      </c>
      <c r="D16" s="157">
        <v>0</v>
      </c>
      <c r="E16" s="157">
        <v>0</v>
      </c>
      <c r="F16" s="157">
        <v>0</v>
      </c>
      <c r="G16" s="157">
        <v>0</v>
      </c>
      <c r="H16" s="157">
        <v>0</v>
      </c>
      <c r="I16" s="157">
        <v>0</v>
      </c>
      <c r="J16" s="157">
        <v>0</v>
      </c>
      <c r="K16" s="157">
        <v>0</v>
      </c>
      <c r="L16" s="157">
        <v>0</v>
      </c>
      <c r="M16" s="157">
        <v>0</v>
      </c>
      <c r="N16" s="157">
        <v>0</v>
      </c>
      <c r="O16" s="157">
        <v>0</v>
      </c>
      <c r="P16" s="157">
        <v>0</v>
      </c>
      <c r="Q16" s="157">
        <v>0</v>
      </c>
      <c r="R16" s="157">
        <v>0</v>
      </c>
      <c r="S16" s="157">
        <v>0</v>
      </c>
      <c r="T16" s="157">
        <v>0</v>
      </c>
      <c r="U16" s="153">
        <v>0</v>
      </c>
      <c r="W16" s="62">
        <v>0</v>
      </c>
      <c r="Y16" s="62">
        <v>1.1349203779723553</v>
      </c>
      <c r="Z16" s="62">
        <f t="shared" si="0"/>
        <v>4085.7133607004794</v>
      </c>
      <c r="AA16" s="62">
        <v>67.593348325666625</v>
      </c>
      <c r="AB16" s="62">
        <f t="shared" si="1"/>
        <v>60.445494444444435</v>
      </c>
    </row>
    <row r="17" spans="2:28" x14ac:dyDescent="0.35">
      <c r="B17" s="254" t="s">
        <v>140</v>
      </c>
      <c r="C17" s="256">
        <v>0</v>
      </c>
      <c r="D17" s="257">
        <v>0</v>
      </c>
      <c r="E17" s="257">
        <v>0</v>
      </c>
      <c r="F17" s="257">
        <v>0</v>
      </c>
      <c r="G17" s="257">
        <v>0</v>
      </c>
      <c r="H17" s="257">
        <v>0</v>
      </c>
      <c r="I17" s="257">
        <v>0</v>
      </c>
      <c r="J17" s="257">
        <v>1</v>
      </c>
      <c r="K17" s="257">
        <v>0</v>
      </c>
      <c r="L17" s="257">
        <v>0</v>
      </c>
      <c r="M17" s="257">
        <v>0</v>
      </c>
      <c r="N17" s="257">
        <v>0</v>
      </c>
      <c r="O17" s="257">
        <v>0</v>
      </c>
      <c r="P17" s="257">
        <v>0</v>
      </c>
      <c r="Q17" s="257">
        <v>0</v>
      </c>
      <c r="R17" s="257">
        <v>0</v>
      </c>
      <c r="S17" s="257">
        <v>0</v>
      </c>
      <c r="T17" s="257">
        <v>0</v>
      </c>
      <c r="U17" s="258">
        <v>0</v>
      </c>
      <c r="V17" s="255"/>
      <c r="W17" s="254">
        <f>'DESIGN IMPROVEMENT'!N15*task2!$I$50/1000/3600</f>
        <v>1.0909312160354425</v>
      </c>
      <c r="Y17" s="62">
        <v>2.8361144321292171</v>
      </c>
      <c r="Z17" s="62">
        <f t="shared" si="0"/>
        <v>10210.011955665181</v>
      </c>
      <c r="AA17" s="62">
        <v>78.658327437671318</v>
      </c>
      <c r="AB17" s="62">
        <f t="shared" si="1"/>
        <v>129.80204751690877</v>
      </c>
    </row>
    <row r="18" spans="2:28" x14ac:dyDescent="0.35">
      <c r="B18" s="254" t="s">
        <v>141</v>
      </c>
      <c r="C18" s="256">
        <v>0</v>
      </c>
      <c r="D18" s="257">
        <v>0</v>
      </c>
      <c r="E18" s="257">
        <v>0</v>
      </c>
      <c r="F18" s="257">
        <v>0</v>
      </c>
      <c r="G18" s="257">
        <v>0</v>
      </c>
      <c r="H18" s="257">
        <v>0</v>
      </c>
      <c r="I18" s="257">
        <v>0</v>
      </c>
      <c r="J18" s="257">
        <v>0</v>
      </c>
      <c r="K18" s="257">
        <v>0</v>
      </c>
      <c r="L18" s="257">
        <v>0</v>
      </c>
      <c r="M18" s="257">
        <v>1</v>
      </c>
      <c r="N18" s="257">
        <v>0</v>
      </c>
      <c r="O18" s="257">
        <v>0</v>
      </c>
      <c r="P18" s="257">
        <v>0</v>
      </c>
      <c r="Q18" s="257">
        <v>0</v>
      </c>
      <c r="R18" s="257">
        <v>0</v>
      </c>
      <c r="S18" s="257">
        <v>0</v>
      </c>
      <c r="T18" s="257">
        <v>0</v>
      </c>
      <c r="U18" s="258">
        <v>0</v>
      </c>
      <c r="V18" s="255"/>
      <c r="W18" s="254">
        <f>'DESIGN IMPROVEMENT'!N15*task2!$L$50/1000/3600</f>
        <v>1.1349203779723553</v>
      </c>
      <c r="Y18" s="62">
        <v>0</v>
      </c>
      <c r="Z18" s="62">
        <f t="shared" si="0"/>
        <v>0</v>
      </c>
      <c r="AA18" s="62">
        <v>19.186423668041432</v>
      </c>
      <c r="AB18" s="62">
        <f t="shared" si="1"/>
        <v>0</v>
      </c>
    </row>
    <row r="19" spans="2:28" x14ac:dyDescent="0.35">
      <c r="B19" s="62" t="s">
        <v>145</v>
      </c>
      <c r="C19" s="229">
        <v>0</v>
      </c>
      <c r="D19" s="157">
        <v>0</v>
      </c>
      <c r="E19" s="157">
        <v>0</v>
      </c>
      <c r="F19" s="157">
        <v>0</v>
      </c>
      <c r="G19" s="157">
        <v>0</v>
      </c>
      <c r="H19" s="157">
        <v>0</v>
      </c>
      <c r="I19" s="157">
        <v>0</v>
      </c>
      <c r="J19" s="157">
        <v>0</v>
      </c>
      <c r="K19" s="157">
        <v>0</v>
      </c>
      <c r="L19" s="157">
        <v>0</v>
      </c>
      <c r="M19" s="157">
        <v>0</v>
      </c>
      <c r="N19" s="157">
        <v>0</v>
      </c>
      <c r="O19" s="157">
        <v>0</v>
      </c>
      <c r="P19" s="157">
        <v>1</v>
      </c>
      <c r="Q19" s="157">
        <v>0</v>
      </c>
      <c r="R19" s="157">
        <v>0</v>
      </c>
      <c r="S19" s="157">
        <v>0</v>
      </c>
      <c r="T19" s="157">
        <v>0</v>
      </c>
      <c r="U19" s="153">
        <v>0</v>
      </c>
      <c r="W19" s="62">
        <v>0.87566852813999996</v>
      </c>
      <c r="Y19" s="62">
        <v>0.87566852813999996</v>
      </c>
      <c r="Z19" s="62">
        <f t="shared" si="0"/>
        <v>3152.4067013039999</v>
      </c>
      <c r="AA19" s="62">
        <v>30.947210999999999</v>
      </c>
      <c r="AB19" s="62">
        <f t="shared" si="1"/>
        <v>101.864</v>
      </c>
    </row>
    <row r="20" spans="2:28" x14ac:dyDescent="0.35">
      <c r="B20" s="62" t="s">
        <v>146</v>
      </c>
      <c r="C20" s="229">
        <v>0</v>
      </c>
      <c r="D20" s="157">
        <v>0</v>
      </c>
      <c r="E20" s="157">
        <v>0</v>
      </c>
      <c r="F20" s="157">
        <v>0</v>
      </c>
      <c r="G20" s="157">
        <v>0</v>
      </c>
      <c r="H20" s="157">
        <v>0</v>
      </c>
      <c r="I20" s="157">
        <v>0</v>
      </c>
      <c r="J20" s="157">
        <v>0</v>
      </c>
      <c r="K20" s="157">
        <v>0</v>
      </c>
      <c r="L20" s="157">
        <v>0</v>
      </c>
      <c r="M20" s="157">
        <v>0</v>
      </c>
      <c r="N20" s="157">
        <v>0</v>
      </c>
      <c r="O20" s="157">
        <v>0</v>
      </c>
      <c r="P20" s="157">
        <v>0</v>
      </c>
      <c r="Q20" s="157">
        <v>0</v>
      </c>
      <c r="R20" s="157">
        <v>1</v>
      </c>
      <c r="S20" s="157">
        <v>0</v>
      </c>
      <c r="T20" s="157">
        <v>0</v>
      </c>
      <c r="U20" s="153">
        <v>0</v>
      </c>
      <c r="W20" s="62">
        <v>0.89734841303333335</v>
      </c>
      <c r="Y20" s="62">
        <v>0</v>
      </c>
      <c r="Z20" s="62">
        <f t="shared" si="0"/>
        <v>0</v>
      </c>
      <c r="AA20" s="62">
        <v>0</v>
      </c>
      <c r="AB20" s="62" t="e">
        <f t="shared" si="1"/>
        <v>#DIV/0!</v>
      </c>
    </row>
    <row r="21" spans="2:28" x14ac:dyDescent="0.35">
      <c r="B21" s="62" t="s">
        <v>143</v>
      </c>
      <c r="C21" s="229">
        <v>0</v>
      </c>
      <c r="D21" s="157">
        <v>0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1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3">
        <v>0</v>
      </c>
      <c r="W21" s="62">
        <v>0</v>
      </c>
      <c r="Y21" s="62">
        <v>0.89734841303333335</v>
      </c>
      <c r="Z21" s="62">
        <f t="shared" si="0"/>
        <v>3230.45428692</v>
      </c>
      <c r="AA21" s="62">
        <v>31.713404999999998</v>
      </c>
      <c r="AB21" s="62">
        <f t="shared" si="1"/>
        <v>101.864</v>
      </c>
    </row>
    <row r="22" spans="2:28" x14ac:dyDescent="0.35">
      <c r="B22" s="62" t="s">
        <v>156</v>
      </c>
      <c r="C22" s="229">
        <v>0</v>
      </c>
      <c r="D22" s="157">
        <v>0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1</v>
      </c>
      <c r="R22" s="157">
        <v>0</v>
      </c>
      <c r="S22" s="157">
        <v>0</v>
      </c>
      <c r="T22" s="157">
        <v>0</v>
      </c>
      <c r="U22" s="153">
        <v>0</v>
      </c>
      <c r="W22" s="62">
        <v>0</v>
      </c>
      <c r="Y22" s="62">
        <v>0</v>
      </c>
      <c r="Z22" s="62">
        <f t="shared" si="0"/>
        <v>0</v>
      </c>
      <c r="AA22" s="62">
        <v>0</v>
      </c>
      <c r="AB22" s="62" t="e">
        <f t="shared" si="1"/>
        <v>#DIV/0!</v>
      </c>
    </row>
    <row r="23" spans="2:28" x14ac:dyDescent="0.35">
      <c r="B23" s="62" t="s">
        <v>157</v>
      </c>
      <c r="C23" s="229">
        <v>0</v>
      </c>
      <c r="D23" s="157">
        <v>0</v>
      </c>
      <c r="E23" s="157">
        <v>0</v>
      </c>
      <c r="F23" s="157">
        <v>0</v>
      </c>
      <c r="G23" s="157">
        <v>0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1</v>
      </c>
      <c r="T23" s="157">
        <v>0</v>
      </c>
      <c r="U23" s="153">
        <v>0</v>
      </c>
      <c r="W23" s="62">
        <v>0</v>
      </c>
      <c r="Y23" s="62">
        <v>1.3998965388461286</v>
      </c>
      <c r="Z23" s="62">
        <f t="shared" si="0"/>
        <v>5039.627539846063</v>
      </c>
      <c r="AA23" s="62">
        <v>24.818525000000001</v>
      </c>
      <c r="AB23" s="62">
        <f t="shared" si="1"/>
        <v>203.05910765631972</v>
      </c>
    </row>
    <row r="24" spans="2:28" ht="15" thickBot="1" x14ac:dyDescent="0.4">
      <c r="B24" s="59" t="s">
        <v>144</v>
      </c>
      <c r="C24" s="230">
        <v>0</v>
      </c>
      <c r="D24" s="259">
        <v>0</v>
      </c>
      <c r="E24" s="259">
        <v>0</v>
      </c>
      <c r="F24" s="259">
        <v>0</v>
      </c>
      <c r="G24" s="259">
        <v>0</v>
      </c>
      <c r="H24" s="259">
        <v>0</v>
      </c>
      <c r="I24" s="259">
        <v>0</v>
      </c>
      <c r="J24" s="259">
        <v>0</v>
      </c>
      <c r="K24" s="259">
        <v>-0.5623721591792874</v>
      </c>
      <c r="L24" s="259">
        <v>1</v>
      </c>
      <c r="M24" s="259">
        <v>0</v>
      </c>
      <c r="N24" s="259">
        <v>0</v>
      </c>
      <c r="O24" s="259">
        <v>0</v>
      </c>
      <c r="P24" s="259">
        <v>0</v>
      </c>
      <c r="Q24" s="259">
        <v>0</v>
      </c>
      <c r="R24" s="259">
        <v>0</v>
      </c>
      <c r="S24" s="259">
        <v>0</v>
      </c>
      <c r="T24" s="259">
        <v>0</v>
      </c>
      <c r="U24" s="260">
        <v>0</v>
      </c>
      <c r="W24" s="59">
        <v>0</v>
      </c>
      <c r="Y24" s="59">
        <v>2.9628767101464186</v>
      </c>
      <c r="Z24" s="59">
        <f t="shared" si="0"/>
        <v>10666.356156527107</v>
      </c>
      <c r="AA24" s="59">
        <v>53.8626</v>
      </c>
      <c r="AB24" s="59">
        <f t="shared" si="1"/>
        <v>198.02898776752528</v>
      </c>
    </row>
    <row r="27" spans="2:28" x14ac:dyDescent="0.35">
      <c r="C27" cm="1">
        <f t="array" ref="C27:U45">MINVERSE(C6:U24)</f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2:28" x14ac:dyDescent="0.35">
      <c r="C28">
        <v>-1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2:28" x14ac:dyDescent="0.35">
      <c r="C29">
        <v>-1</v>
      </c>
      <c r="D29">
        <v>-1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-1</v>
      </c>
      <c r="T29">
        <v>0</v>
      </c>
      <c r="U29">
        <v>0</v>
      </c>
    </row>
    <row r="30" spans="2:28" x14ac:dyDescent="0.35">
      <c r="C30">
        <v>-1</v>
      </c>
      <c r="D30">
        <v>-1</v>
      </c>
      <c r="E30">
        <v>-1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-1</v>
      </c>
      <c r="T30">
        <v>0</v>
      </c>
      <c r="U30">
        <v>0</v>
      </c>
    </row>
    <row r="31" spans="2:28" x14ac:dyDescent="0.35">
      <c r="C31">
        <v>-1</v>
      </c>
      <c r="D31">
        <v>-1</v>
      </c>
      <c r="E31">
        <v>-1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-1</v>
      </c>
      <c r="T31">
        <v>-1</v>
      </c>
      <c r="U31">
        <v>0</v>
      </c>
    </row>
    <row r="32" spans="2:28" x14ac:dyDescent="0.35">
      <c r="C32">
        <v>-1</v>
      </c>
      <c r="D32">
        <v>-1</v>
      </c>
      <c r="E32">
        <v>-1</v>
      </c>
      <c r="F32">
        <v>-1</v>
      </c>
      <c r="G32">
        <v>-1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-1</v>
      </c>
      <c r="T32">
        <v>-1</v>
      </c>
      <c r="U32">
        <v>0</v>
      </c>
    </row>
    <row r="33" spans="3:21" x14ac:dyDescent="0.35"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-1</v>
      </c>
      <c r="T33">
        <v>-1</v>
      </c>
      <c r="U33">
        <v>0</v>
      </c>
    </row>
    <row r="34" spans="3:21" x14ac:dyDescent="0.3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3:21" x14ac:dyDescent="0.35"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-1</v>
      </c>
      <c r="T35">
        <v>-1</v>
      </c>
      <c r="U35">
        <v>0</v>
      </c>
    </row>
    <row r="36" spans="3:21" x14ac:dyDescent="0.35">
      <c r="C36">
        <v>-0.5623721591792874</v>
      </c>
      <c r="D36">
        <v>-0.5623721591792874</v>
      </c>
      <c r="E36">
        <v>-0.5623721591792874</v>
      </c>
      <c r="F36">
        <v>-0.5623721591792874</v>
      </c>
      <c r="G36">
        <v>-0.5623721591792874</v>
      </c>
      <c r="H36">
        <v>-0.5623721591792874</v>
      </c>
      <c r="I36">
        <v>-0.5623721591792874</v>
      </c>
      <c r="J36">
        <v>0</v>
      </c>
      <c r="K36">
        <v>0</v>
      </c>
      <c r="L36">
        <v>0</v>
      </c>
      <c r="M36">
        <v>0.5623721591792874</v>
      </c>
      <c r="N36">
        <v>0.5623721591792874</v>
      </c>
      <c r="O36">
        <v>0</v>
      </c>
      <c r="P36">
        <v>0.5623721591792874</v>
      </c>
      <c r="Q36">
        <v>0.5623721591792874</v>
      </c>
      <c r="R36">
        <v>0</v>
      </c>
      <c r="S36">
        <v>-0.5623721591792874</v>
      </c>
      <c r="T36">
        <v>-0.5623721591792874</v>
      </c>
      <c r="U36">
        <v>1</v>
      </c>
    </row>
    <row r="37" spans="3:21" x14ac:dyDescent="0.35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3:21" x14ac:dyDescent="0.35">
      <c r="C38">
        <v>-0.5623721591792874</v>
      </c>
      <c r="D38">
        <v>-0.5623721591792874</v>
      </c>
      <c r="E38">
        <v>-0.5623721591792874</v>
      </c>
      <c r="F38">
        <v>-0.5623721591792874</v>
      </c>
      <c r="G38">
        <v>-0.5623721591792874</v>
      </c>
      <c r="H38">
        <v>-0.5623721591792874</v>
      </c>
      <c r="I38">
        <v>-0.5623721591792874</v>
      </c>
      <c r="J38">
        <v>0</v>
      </c>
      <c r="K38">
        <v>-1</v>
      </c>
      <c r="L38">
        <v>0</v>
      </c>
      <c r="M38">
        <v>0.5623721591792874</v>
      </c>
      <c r="N38">
        <v>0.5623721591792874</v>
      </c>
      <c r="O38">
        <v>1</v>
      </c>
      <c r="P38">
        <v>0.5623721591792874</v>
      </c>
      <c r="Q38">
        <v>0.5623721591792874</v>
      </c>
      <c r="R38">
        <v>0</v>
      </c>
      <c r="S38">
        <v>-0.5623721591792874</v>
      </c>
      <c r="T38">
        <v>-0.5623721591792874</v>
      </c>
      <c r="U38">
        <v>1</v>
      </c>
    </row>
    <row r="39" spans="3:21" x14ac:dyDescent="0.3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3:21" x14ac:dyDescent="0.3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3:21" x14ac:dyDescent="0.35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3:21" x14ac:dyDescent="0.35"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</row>
    <row r="43" spans="3:21" x14ac:dyDescent="0.3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3:21" x14ac:dyDescent="0.35">
      <c r="C44">
        <v>-0.4376278408207126</v>
      </c>
      <c r="D44">
        <v>-0.4376278408207126</v>
      </c>
      <c r="E44">
        <v>-0.4376278408207126</v>
      </c>
      <c r="F44">
        <v>-0.4376278408207126</v>
      </c>
      <c r="G44">
        <v>-0.4376278408207126</v>
      </c>
      <c r="H44">
        <v>-0.4376278408207126</v>
      </c>
      <c r="I44">
        <v>-0.4376278408207126</v>
      </c>
      <c r="J44">
        <v>-1</v>
      </c>
      <c r="K44">
        <v>0</v>
      </c>
      <c r="L44">
        <v>0</v>
      </c>
      <c r="M44">
        <v>0.4376278408207126</v>
      </c>
      <c r="N44">
        <v>0.4376278408207126</v>
      </c>
      <c r="O44">
        <v>0</v>
      </c>
      <c r="P44">
        <v>0.4376278408207126</v>
      </c>
      <c r="Q44">
        <v>0.4376278408207126</v>
      </c>
      <c r="R44">
        <v>0</v>
      </c>
      <c r="S44">
        <v>-0.4376278408207126</v>
      </c>
      <c r="T44">
        <v>-0.4376278408207126</v>
      </c>
      <c r="U44">
        <v>-1</v>
      </c>
    </row>
    <row r="45" spans="3:21" x14ac:dyDescent="0.35">
      <c r="C45">
        <v>-0.5623721591792874</v>
      </c>
      <c r="D45">
        <v>-0.5623721591792874</v>
      </c>
      <c r="E45">
        <v>-0.5623721591792874</v>
      </c>
      <c r="F45">
        <v>-0.5623721591792874</v>
      </c>
      <c r="G45">
        <v>-0.5623721591792874</v>
      </c>
      <c r="H45">
        <v>-0.5623721591792874</v>
      </c>
      <c r="I45">
        <v>-0.5623721591792874</v>
      </c>
      <c r="J45">
        <v>0</v>
      </c>
      <c r="K45">
        <v>-1</v>
      </c>
      <c r="L45">
        <v>-1</v>
      </c>
      <c r="M45">
        <v>0.5623721591792874</v>
      </c>
      <c r="N45">
        <v>0.5623721591792874</v>
      </c>
      <c r="O45">
        <v>1</v>
      </c>
      <c r="P45">
        <v>0.5623721591792874</v>
      </c>
      <c r="Q45">
        <v>0.5623721591792874</v>
      </c>
      <c r="R45">
        <v>-1</v>
      </c>
      <c r="S45">
        <v>-0.5623721591792874</v>
      </c>
      <c r="T45">
        <v>-0.5623721591792874</v>
      </c>
      <c r="U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task1</vt:lpstr>
      <vt:lpstr>task2</vt:lpstr>
      <vt:lpstr>CHEMICAL EXERGY</vt:lpstr>
      <vt:lpstr>task4</vt:lpstr>
      <vt:lpstr>task5</vt:lpstr>
      <vt:lpstr>DESIGN IMPROVEMENT</vt:lpstr>
      <vt:lpstr>Electricity cost carbon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Vair</dc:creator>
  <cp:lastModifiedBy>Federico Vair</cp:lastModifiedBy>
  <dcterms:created xsi:type="dcterms:W3CDTF">2020-11-10T09:47:44Z</dcterms:created>
  <dcterms:modified xsi:type="dcterms:W3CDTF">2021-01-12T08:38:43Z</dcterms:modified>
</cp:coreProperties>
</file>