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Qifan\Desktop\新建文件夹\3 hydrogen\"/>
    </mc:Choice>
  </mc:AlternateContent>
  <xr:revisionPtr revIDLastSave="0" documentId="13_ncr:1_{5F116D2E-E9F9-4A01-8B91-9B35AE54BA51}" xr6:coauthVersionLast="47" xr6:coauthVersionMax="47" xr10:uidLastSave="{00000000-0000-0000-0000-000000000000}"/>
  <bookViews>
    <workbookView xWindow="22440" yWindow="6315" windowWidth="34785" windowHeight="2344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42" i="1" l="1"/>
  <c r="AB87" i="1" l="1"/>
  <c r="AB88" i="1"/>
  <c r="AB89" i="1"/>
  <c r="AB90" i="1"/>
  <c r="AB91" i="1"/>
  <c r="AB92" i="1"/>
  <c r="J61" i="1"/>
  <c r="P43" i="1" l="1"/>
  <c r="P42" i="1"/>
  <c r="AE2" i="1" l="1"/>
  <c r="AC2" i="1"/>
  <c r="AA6" i="1"/>
  <c r="AA5" i="1"/>
  <c r="AA4" i="1"/>
  <c r="AA3" i="1"/>
  <c r="AA2" i="1"/>
  <c r="P88" i="1"/>
  <c r="S88" i="1" s="1"/>
  <c r="Q88" i="1"/>
  <c r="T88" i="1" s="1"/>
  <c r="R88" i="1"/>
  <c r="P89" i="1"/>
  <c r="Z89" i="1" s="1"/>
  <c r="AA89" i="1" s="1"/>
  <c r="Q89" i="1"/>
  <c r="R89" i="1"/>
  <c r="S89" i="1"/>
  <c r="T89" i="1"/>
  <c r="P90" i="1"/>
  <c r="Z90" i="1" s="1"/>
  <c r="AA90" i="1" s="1"/>
  <c r="Q90" i="1"/>
  <c r="R90" i="1"/>
  <c r="S90" i="1"/>
  <c r="T90" i="1"/>
  <c r="P91" i="1"/>
  <c r="Z91" i="1" s="1"/>
  <c r="AA91" i="1" s="1"/>
  <c r="Q91" i="1"/>
  <c r="R91" i="1"/>
  <c r="S91" i="1"/>
  <c r="T91" i="1"/>
  <c r="P92" i="1"/>
  <c r="R92" i="1" s="1"/>
  <c r="Q92" i="1"/>
  <c r="T92" i="1" s="1"/>
  <c r="Z92" i="1"/>
  <c r="AA92" i="1"/>
  <c r="Z87" i="1"/>
  <c r="AA87" i="1" s="1"/>
  <c r="Q87" i="1"/>
  <c r="T87" i="1" s="1"/>
  <c r="P87" i="1"/>
  <c r="S87" i="1" s="1"/>
  <c r="O87" i="1"/>
  <c r="N88" i="1"/>
  <c r="N90" i="1"/>
  <c r="O93" i="1"/>
  <c r="N87" i="1"/>
  <c r="L88" i="1"/>
  <c r="L89" i="1"/>
  <c r="L90" i="1"/>
  <c r="L91" i="1"/>
  <c r="L92" i="1"/>
  <c r="L87" i="1"/>
  <c r="Q83" i="1"/>
  <c r="T83" i="1" s="1"/>
  <c r="Q79" i="1"/>
  <c r="T79" i="1" s="1"/>
  <c r="Q80" i="1"/>
  <c r="T80" i="1" s="1"/>
  <c r="Q81" i="1"/>
  <c r="T81" i="1" s="1"/>
  <c r="Q82" i="1"/>
  <c r="T82" i="1" s="1"/>
  <c r="L78" i="1"/>
  <c r="L79" i="1"/>
  <c r="L80" i="1"/>
  <c r="L81" i="1"/>
  <c r="L82" i="1"/>
  <c r="L83" i="1"/>
  <c r="L77" i="1"/>
  <c r="Q66" i="1"/>
  <c r="T66" i="1" s="1"/>
  <c r="Q67" i="1"/>
  <c r="T67" i="1" s="1"/>
  <c r="Q68" i="1"/>
  <c r="T68" i="1" s="1"/>
  <c r="Q69" i="1"/>
  <c r="T69" i="1" s="1"/>
  <c r="Q70" i="1"/>
  <c r="T70" i="1" s="1"/>
  <c r="Q72" i="1"/>
  <c r="T72" i="1" s="1"/>
  <c r="P73" i="1"/>
  <c r="Q73" i="1"/>
  <c r="Z73" i="1" s="1"/>
  <c r="Q65" i="1"/>
  <c r="T65" i="1" s="1"/>
  <c r="O68" i="1"/>
  <c r="L66" i="1"/>
  <c r="L67" i="1"/>
  <c r="L68" i="1"/>
  <c r="L69" i="1"/>
  <c r="L70" i="1"/>
  <c r="L71" i="1"/>
  <c r="L72" i="1"/>
  <c r="L73" i="1"/>
  <c r="L65" i="1"/>
  <c r="J59" i="1"/>
  <c r="Q49" i="1"/>
  <c r="T49" i="1" s="1"/>
  <c r="S42" i="1"/>
  <c r="J49" i="1"/>
  <c r="L49" i="1" s="1"/>
  <c r="J48" i="1"/>
  <c r="L48" i="1" s="1"/>
  <c r="J47" i="1"/>
  <c r="L47" i="1" s="1"/>
  <c r="J46" i="1"/>
  <c r="L46" i="1" s="1"/>
  <c r="J45" i="1"/>
  <c r="L45" i="1" s="1"/>
  <c r="J44" i="1"/>
  <c r="L44" i="1" s="1"/>
  <c r="J43" i="1"/>
  <c r="L43" i="1" s="1"/>
  <c r="J42" i="1"/>
  <c r="L42" i="1" s="1"/>
  <c r="E31" i="1"/>
  <c r="H31" i="1" s="1"/>
  <c r="J31" i="1" s="1"/>
  <c r="K31" i="1" s="1"/>
  <c r="E30" i="1"/>
  <c r="H30" i="1" s="1"/>
  <c r="J30" i="1" s="1"/>
  <c r="K30" i="1" s="1"/>
  <c r="E29" i="1"/>
  <c r="H29" i="1" s="1"/>
  <c r="J29" i="1" s="1"/>
  <c r="K29" i="1" s="1"/>
  <c r="E28" i="1"/>
  <c r="H28" i="1" s="1"/>
  <c r="J28" i="1" s="1"/>
  <c r="K28" i="1" s="1"/>
  <c r="E27" i="1"/>
  <c r="H27" i="1" s="1"/>
  <c r="J27" i="1" s="1"/>
  <c r="K27" i="1" s="1"/>
  <c r="E26" i="1"/>
  <c r="H26" i="1" s="1"/>
  <c r="J26" i="1" s="1"/>
  <c r="K26" i="1" s="1"/>
  <c r="E25" i="1"/>
  <c r="H25" i="1" s="1"/>
  <c r="J25" i="1" s="1"/>
  <c r="K25" i="1" s="1"/>
  <c r="E24" i="1"/>
  <c r="H24" i="1" s="1"/>
  <c r="J24" i="1" s="1"/>
  <c r="K24" i="1" s="1"/>
  <c r="E23" i="1"/>
  <c r="H23" i="1" s="1"/>
  <c r="J23" i="1" s="1"/>
  <c r="K23" i="1" s="1"/>
  <c r="E22" i="1"/>
  <c r="H22" i="1" s="1"/>
  <c r="J22" i="1" s="1"/>
  <c r="K22" i="1" s="1"/>
  <c r="E21" i="1"/>
  <c r="H21" i="1" s="1"/>
  <c r="J21" i="1" s="1"/>
  <c r="K21" i="1" s="1"/>
  <c r="E20" i="1"/>
  <c r="H20" i="1" s="1"/>
  <c r="J20" i="1" s="1"/>
  <c r="K20" i="1" s="1"/>
  <c r="E19" i="1"/>
  <c r="H19" i="1" s="1"/>
  <c r="J19" i="1" s="1"/>
  <c r="K19" i="1" s="1"/>
  <c r="E18" i="1"/>
  <c r="H18" i="1" s="1"/>
  <c r="J18" i="1" s="1"/>
  <c r="K18" i="1" s="1"/>
  <c r="E17" i="1"/>
  <c r="H17" i="1" s="1"/>
  <c r="J17" i="1" s="1"/>
  <c r="K17" i="1" s="1"/>
  <c r="E16" i="1"/>
  <c r="H16" i="1" s="1"/>
  <c r="J16" i="1" s="1"/>
  <c r="K16" i="1" s="1"/>
  <c r="E15" i="1"/>
  <c r="H15" i="1" s="1"/>
  <c r="J15" i="1" s="1"/>
  <c r="K15" i="1" s="1"/>
  <c r="E14" i="1"/>
  <c r="H14" i="1" s="1"/>
  <c r="J14" i="1" s="1"/>
  <c r="K14" i="1" s="1"/>
  <c r="S17" i="1"/>
  <c r="S92" i="1" l="1"/>
  <c r="Z88" i="1"/>
  <c r="AA88" i="1" s="1"/>
  <c r="R87" i="1"/>
  <c r="AA73" i="1"/>
  <c r="R73" i="1"/>
  <c r="T73" i="1"/>
  <c r="S73" i="1"/>
  <c r="J50" i="1"/>
  <c r="L50" i="1"/>
  <c r="M20" i="1"/>
  <c r="L20" i="1"/>
  <c r="M21" i="1"/>
  <c r="L21" i="1"/>
  <c r="L19" i="1"/>
  <c r="M19" i="1"/>
  <c r="M22" i="1"/>
  <c r="L22" i="1"/>
  <c r="L14" i="1"/>
  <c r="M14" i="1"/>
  <c r="M24" i="1"/>
  <c r="L24" i="1"/>
  <c r="L16" i="1"/>
  <c r="M16" i="1"/>
  <c r="M15" i="1"/>
  <c r="L15" i="1"/>
  <c r="M27" i="1"/>
  <c r="L27" i="1"/>
  <c r="M30" i="1"/>
  <c r="L30" i="1"/>
  <c r="M23" i="1"/>
  <c r="L23" i="1"/>
  <c r="L25" i="1"/>
  <c r="M25" i="1"/>
  <c r="M26" i="1"/>
  <c r="L26" i="1"/>
  <c r="M17" i="1"/>
  <c r="L17" i="1"/>
  <c r="M69" i="1" s="1"/>
  <c r="AB69" i="1" s="1"/>
  <c r="M28" i="1"/>
  <c r="L28" i="1"/>
  <c r="L29" i="1"/>
  <c r="M29" i="1"/>
  <c r="L18" i="1"/>
  <c r="M18" i="1"/>
  <c r="M31" i="1"/>
  <c r="L31" i="1"/>
  <c r="J32" i="1" a="1"/>
  <c r="J32" i="1" s="1"/>
  <c r="H32" i="1" a="1"/>
  <c r="H32" i="1" s="1"/>
  <c r="N23" i="1" l="1"/>
  <c r="M82" i="1"/>
  <c r="AB82" i="1" s="1"/>
  <c r="N30" i="1"/>
  <c r="M90" i="1"/>
  <c r="N15" i="1"/>
  <c r="M73" i="1"/>
  <c r="AB73" i="1" s="1"/>
  <c r="AC73" i="1" s="1"/>
  <c r="N29" i="1"/>
  <c r="M91" i="1"/>
  <c r="N28" i="1"/>
  <c r="M92" i="1"/>
  <c r="AC92" i="1" s="1"/>
  <c r="N16" i="1"/>
  <c r="M72" i="1"/>
  <c r="N14" i="1"/>
  <c r="M70" i="1"/>
  <c r="AB70" i="1" s="1"/>
  <c r="N24" i="1"/>
  <c r="M83" i="1"/>
  <c r="AB83" i="1" s="1"/>
  <c r="N31" i="1"/>
  <c r="M89" i="1"/>
  <c r="N27" i="1"/>
  <c r="M79" i="1"/>
  <c r="N26" i="1"/>
  <c r="M81" i="1"/>
  <c r="AB81" i="1" s="1"/>
  <c r="N25" i="1"/>
  <c r="M80" i="1"/>
  <c r="AB80" i="1" s="1"/>
  <c r="N19" i="1"/>
  <c r="M66" i="1"/>
  <c r="AB66" i="1" s="1"/>
  <c r="N20" i="1"/>
  <c r="M67" i="1"/>
  <c r="AB67" i="1" s="1"/>
  <c r="N22" i="1"/>
  <c r="M65" i="1"/>
  <c r="AB65" i="1" s="1"/>
  <c r="N18" i="1"/>
  <c r="M68" i="1"/>
  <c r="AB68" i="1" s="1"/>
  <c r="N21" i="1"/>
  <c r="AB49" i="1" s="1"/>
  <c r="M49" i="1"/>
  <c r="M48" i="1" s="1"/>
  <c r="M47" i="1" s="1"/>
  <c r="M46" i="1" s="1"/>
  <c r="M45" i="1" s="1"/>
  <c r="M44" i="1" s="1"/>
  <c r="N17" i="1"/>
  <c r="M32" i="1"/>
  <c r="K32" i="1"/>
  <c r="AC91" i="1" l="1"/>
  <c r="U91" i="1"/>
  <c r="W91" i="1" s="1"/>
  <c r="AC90" i="1"/>
  <c r="U90" i="1"/>
  <c r="W90" i="1" s="1"/>
  <c r="U73" i="1"/>
  <c r="W73" i="1" s="1"/>
  <c r="X73" i="1" s="1"/>
  <c r="M71" i="1"/>
  <c r="AB71" i="1" s="1"/>
  <c r="AB72" i="1"/>
  <c r="AB79" i="1"/>
  <c r="M78" i="1"/>
  <c r="AC89" i="1"/>
  <c r="M88" i="1"/>
  <c r="U89" i="1"/>
  <c r="W89" i="1" s="1"/>
  <c r="U92" i="1"/>
  <c r="W92" i="1" s="1"/>
  <c r="AB48" i="1"/>
  <c r="N32" i="1"/>
  <c r="L32" i="1"/>
  <c r="M42" i="1" s="1"/>
  <c r="O39" i="1"/>
  <c r="O42" i="1" s="1"/>
  <c r="N77" i="1" s="1"/>
  <c r="P77" i="1" s="1"/>
  <c r="X92" i="1" l="1"/>
  <c r="Y92" i="1"/>
  <c r="AD92" i="1" s="1"/>
  <c r="Y73" i="1"/>
  <c r="AD73" i="1" s="1"/>
  <c r="Y90" i="1"/>
  <c r="AD90" i="1" s="1"/>
  <c r="X90" i="1"/>
  <c r="X89" i="1"/>
  <c r="Y89" i="1"/>
  <c r="AD89" i="1" s="1"/>
  <c r="AC88" i="1"/>
  <c r="M87" i="1"/>
  <c r="U88" i="1"/>
  <c r="W88" i="1" s="1"/>
  <c r="M77" i="1"/>
  <c r="AB77" i="1" s="1"/>
  <c r="AB78" i="1"/>
  <c r="X91" i="1"/>
  <c r="Y91" i="1"/>
  <c r="AD91" i="1" s="1"/>
  <c r="S77" i="1"/>
  <c r="O85" i="1"/>
  <c r="N79" i="1" s="1"/>
  <c r="P79" i="1" s="1"/>
  <c r="N43" i="1"/>
  <c r="Q42" i="1"/>
  <c r="AB47" i="1"/>
  <c r="AC87" i="1" l="1"/>
  <c r="U87" i="1"/>
  <c r="W87" i="1" s="1"/>
  <c r="Y88" i="1"/>
  <c r="X88" i="1"/>
  <c r="AD88" i="1"/>
  <c r="R79" i="1"/>
  <c r="S79" i="1"/>
  <c r="U79" i="1" s="1"/>
  <c r="W79" i="1" s="1"/>
  <c r="Z79" i="1"/>
  <c r="AA79" i="1" s="1"/>
  <c r="AC79" i="1" s="1"/>
  <c r="O78" i="1"/>
  <c r="N81" i="1"/>
  <c r="P81" i="1" s="1"/>
  <c r="N80" i="1"/>
  <c r="P80" i="1" s="1"/>
  <c r="O77" i="1"/>
  <c r="AB46" i="1"/>
  <c r="Z42" i="1"/>
  <c r="AA42" i="1" s="1"/>
  <c r="AC42" i="1" s="1"/>
  <c r="T42" i="1"/>
  <c r="U42" i="1" s="1"/>
  <c r="W42" i="1" s="1"/>
  <c r="R42" i="1"/>
  <c r="O43" i="1"/>
  <c r="M43" i="1"/>
  <c r="Y87" i="1" l="1"/>
  <c r="X87" i="1"/>
  <c r="AD87" i="1"/>
  <c r="Z80" i="1"/>
  <c r="AA80" i="1" s="1"/>
  <c r="AC80" i="1" s="1"/>
  <c r="S80" i="1"/>
  <c r="U80" i="1" s="1"/>
  <c r="W80" i="1" s="1"/>
  <c r="R80" i="1"/>
  <c r="N82" i="1"/>
  <c r="Q77" i="1"/>
  <c r="Y79" i="1"/>
  <c r="AD79" i="1" s="1"/>
  <c r="X79" i="1"/>
  <c r="Z81" i="1"/>
  <c r="AA81" i="1" s="1"/>
  <c r="AC81" i="1" s="1"/>
  <c r="S81" i="1"/>
  <c r="U81" i="1" s="1"/>
  <c r="W81" i="1" s="1"/>
  <c r="R81" i="1"/>
  <c r="N78" i="1"/>
  <c r="P78" i="1" s="1"/>
  <c r="Q78" i="1"/>
  <c r="T78" i="1" s="1"/>
  <c r="Y42" i="1"/>
  <c r="AD42" i="1" s="1"/>
  <c r="X42" i="1"/>
  <c r="N44" i="1"/>
  <c r="Q43" i="1"/>
  <c r="T43" i="1" s="1"/>
  <c r="AB45" i="1"/>
  <c r="S43" i="1"/>
  <c r="X81" i="1" l="1"/>
  <c r="Y81" i="1"/>
  <c r="AD81" i="1" s="1"/>
  <c r="T77" i="1"/>
  <c r="U77" i="1" s="1"/>
  <c r="W77" i="1" s="1"/>
  <c r="R77" i="1"/>
  <c r="Z77" i="1"/>
  <c r="AA77" i="1" s="1"/>
  <c r="AC77" i="1" s="1"/>
  <c r="Z78" i="1"/>
  <c r="AA78" i="1" s="1"/>
  <c r="AC78" i="1" s="1"/>
  <c r="R78" i="1"/>
  <c r="S78" i="1"/>
  <c r="U78" i="1" s="1"/>
  <c r="W78" i="1" s="1"/>
  <c r="R43" i="1"/>
  <c r="Y80" i="1"/>
  <c r="AD80" i="1" s="1"/>
  <c r="X80" i="1"/>
  <c r="Z43" i="1"/>
  <c r="AA43" i="1" s="1"/>
  <c r="N83" i="1"/>
  <c r="P83" i="1" s="1"/>
  <c r="P82" i="1"/>
  <c r="U43" i="1"/>
  <c r="W43" i="1" s="1"/>
  <c r="X43" i="1" s="1"/>
  <c r="O44" i="1"/>
  <c r="P44" i="1"/>
  <c r="AB44" i="1"/>
  <c r="S83" i="1" l="1"/>
  <c r="U83" i="1" s="1"/>
  <c r="W83" i="1" s="1"/>
  <c r="R83" i="1"/>
  <c r="Z83" i="1"/>
  <c r="AA83" i="1" s="1"/>
  <c r="AC83" i="1" s="1"/>
  <c r="S82" i="1"/>
  <c r="U82" i="1" s="1"/>
  <c r="W82" i="1" s="1"/>
  <c r="R82" i="1"/>
  <c r="Z82" i="1"/>
  <c r="AA82" i="1" s="1"/>
  <c r="AC82" i="1" s="1"/>
  <c r="Y43" i="1"/>
  <c r="Y77" i="1"/>
  <c r="AD77" i="1" s="1"/>
  <c r="X77" i="1"/>
  <c r="X78" i="1"/>
  <c r="Y78" i="1"/>
  <c r="AD78" i="1" s="1"/>
  <c r="N70" i="1"/>
  <c r="P70" i="1" s="1"/>
  <c r="N71" i="1"/>
  <c r="AB43" i="1"/>
  <c r="AC43" i="1" s="1"/>
  <c r="AD43" i="1" s="1"/>
  <c r="S44" i="1"/>
  <c r="N45" i="1"/>
  <c r="Q44" i="1"/>
  <c r="T44" i="1" s="1"/>
  <c r="Y82" i="1" l="1"/>
  <c r="AD82" i="1" s="1"/>
  <c r="X82" i="1"/>
  <c r="X83" i="1"/>
  <c r="Y83" i="1"/>
  <c r="AD83" i="1" s="1"/>
  <c r="P71" i="1"/>
  <c r="O75" i="1"/>
  <c r="N72" i="1" s="1"/>
  <c r="R70" i="1"/>
  <c r="Z70" i="1"/>
  <c r="AA70" i="1" s="1"/>
  <c r="AC70" i="1" s="1"/>
  <c r="S70" i="1"/>
  <c r="U70" i="1" s="1"/>
  <c r="W70" i="1" s="1"/>
  <c r="U44" i="1"/>
  <c r="W44" i="1" s="1"/>
  <c r="R44" i="1"/>
  <c r="O45" i="1"/>
  <c r="N69" i="1" s="1"/>
  <c r="P69" i="1" s="1"/>
  <c r="P45" i="1"/>
  <c r="Z44" i="1"/>
  <c r="AA44" i="1" s="1"/>
  <c r="AC44" i="1" s="1"/>
  <c r="Y70" i="1" l="1"/>
  <c r="X70" i="1"/>
  <c r="S69" i="1"/>
  <c r="U69" i="1" s="1"/>
  <c r="W69" i="1" s="1"/>
  <c r="Z69" i="1"/>
  <c r="AA69" i="1" s="1"/>
  <c r="AC69" i="1" s="1"/>
  <c r="R69" i="1"/>
  <c r="AD70" i="1"/>
  <c r="P72" i="1"/>
  <c r="O71" i="1"/>
  <c r="Q71" i="1" s="1"/>
  <c r="T71" i="1" s="1"/>
  <c r="S71" i="1"/>
  <c r="U71" i="1" s="1"/>
  <c r="W71" i="1" s="1"/>
  <c r="Y44" i="1"/>
  <c r="AD44" i="1" s="1"/>
  <c r="X44" i="1"/>
  <c r="S45" i="1"/>
  <c r="N46" i="1"/>
  <c r="Q45" i="1"/>
  <c r="T45" i="1" s="1"/>
  <c r="R71" i="1" l="1"/>
  <c r="Y71" i="1"/>
  <c r="X71" i="1"/>
  <c r="Z71" i="1"/>
  <c r="AA71" i="1" s="1"/>
  <c r="AC71" i="1" s="1"/>
  <c r="AD71" i="1" s="1"/>
  <c r="Z72" i="1"/>
  <c r="AA72" i="1" s="1"/>
  <c r="AC72" i="1" s="1"/>
  <c r="R72" i="1"/>
  <c r="S72" i="1"/>
  <c r="U72" i="1" s="1"/>
  <c r="W72" i="1" s="1"/>
  <c r="X69" i="1"/>
  <c r="Y69" i="1"/>
  <c r="AD69" i="1" s="1"/>
  <c r="Z45" i="1"/>
  <c r="AA45" i="1" s="1"/>
  <c r="AC45" i="1" s="1"/>
  <c r="U45" i="1"/>
  <c r="W45" i="1" s="1"/>
  <c r="R45" i="1"/>
  <c r="O46" i="1"/>
  <c r="N68" i="1" s="1"/>
  <c r="P68" i="1" s="1"/>
  <c r="P46" i="1"/>
  <c r="Z68" i="1" l="1"/>
  <c r="AA68" i="1" s="1"/>
  <c r="AC68" i="1" s="1"/>
  <c r="S68" i="1"/>
  <c r="U68" i="1" s="1"/>
  <c r="W68" i="1" s="1"/>
  <c r="R68" i="1"/>
  <c r="X72" i="1"/>
  <c r="Y72" i="1"/>
  <c r="AD72" i="1"/>
  <c r="S46" i="1"/>
  <c r="N47" i="1"/>
  <c r="Q46" i="1"/>
  <c r="T46" i="1" s="1"/>
  <c r="X45" i="1"/>
  <c r="Y45" i="1"/>
  <c r="AD45" i="1" s="1"/>
  <c r="Y68" i="1" l="1"/>
  <c r="AD68" i="1" s="1"/>
  <c r="X68" i="1"/>
  <c r="Z46" i="1"/>
  <c r="AA46" i="1" s="1"/>
  <c r="AC46" i="1" s="1"/>
  <c r="U46" i="1"/>
  <c r="W46" i="1" s="1"/>
  <c r="O47" i="1"/>
  <c r="P47" i="1"/>
  <c r="R46" i="1"/>
  <c r="N66" i="1" l="1"/>
  <c r="P66" i="1" s="1"/>
  <c r="N67" i="1"/>
  <c r="P67" i="1" s="1"/>
  <c r="S47" i="1"/>
  <c r="N48" i="1"/>
  <c r="Q47" i="1"/>
  <c r="T47" i="1" s="1"/>
  <c r="X46" i="1"/>
  <c r="Y46" i="1"/>
  <c r="AD46" i="1" s="1"/>
  <c r="Z67" i="1" l="1"/>
  <c r="AA67" i="1" s="1"/>
  <c r="AC67" i="1" s="1"/>
  <c r="R67" i="1"/>
  <c r="S67" i="1"/>
  <c r="U67" i="1" s="1"/>
  <c r="W67" i="1" s="1"/>
  <c r="Z66" i="1"/>
  <c r="AA66" i="1" s="1"/>
  <c r="AC66" i="1" s="1"/>
  <c r="S66" i="1"/>
  <c r="U66" i="1" s="1"/>
  <c r="W66" i="1" s="1"/>
  <c r="R66" i="1"/>
  <c r="R47" i="1"/>
  <c r="O48" i="1"/>
  <c r="P48" i="1"/>
  <c r="Z47" i="1"/>
  <c r="AA47" i="1" s="1"/>
  <c r="AC47" i="1" s="1"/>
  <c r="U47" i="1"/>
  <c r="W47" i="1" s="1"/>
  <c r="Y66" i="1" l="1"/>
  <c r="AD66" i="1" s="1"/>
  <c r="X66" i="1"/>
  <c r="X67" i="1"/>
  <c r="Y67" i="1"/>
  <c r="AD67" i="1"/>
  <c r="Y47" i="1"/>
  <c r="X47" i="1"/>
  <c r="N49" i="1"/>
  <c r="Q48" i="1"/>
  <c r="T48" i="1" s="1"/>
  <c r="AD47" i="1"/>
  <c r="S48" i="1"/>
  <c r="U48" i="1" s="1"/>
  <c r="W48" i="1" s="1"/>
  <c r="P49" i="1" l="1"/>
  <c r="N65" i="1"/>
  <c r="P65" i="1" s="1"/>
  <c r="X48" i="1"/>
  <c r="Y48" i="1"/>
  <c r="R48" i="1"/>
  <c r="S49" i="1"/>
  <c r="U49" i="1" s="1"/>
  <c r="W49" i="1" s="1"/>
  <c r="Z49" i="1"/>
  <c r="AA49" i="1" s="1"/>
  <c r="AC49" i="1" s="1"/>
  <c r="R49" i="1"/>
  <c r="Z48" i="1"/>
  <c r="AA48" i="1" s="1"/>
  <c r="AC48" i="1" s="1"/>
  <c r="AD48" i="1" s="1"/>
  <c r="Z65" i="1" l="1"/>
  <c r="AA65" i="1" s="1"/>
  <c r="AC65" i="1" s="1"/>
  <c r="S65" i="1"/>
  <c r="U65" i="1" s="1"/>
  <c r="W65" i="1" s="1"/>
  <c r="R65" i="1"/>
  <c r="X49" i="1"/>
  <c r="Y49" i="1"/>
  <c r="AD49" i="1" s="1"/>
  <c r="Y65" i="1" l="1"/>
  <c r="X65" i="1"/>
  <c r="AD6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<sst xmlns="http://schemas.openxmlformats.org/spreadsheetml/2006/main" count="227" uniqueCount="176">
  <si>
    <t>Design of a gas network system</t>
    <phoneticPr fontId="1" type="noConversion"/>
  </si>
  <si>
    <t>Requirement</t>
    <phoneticPr fontId="1" type="noConversion"/>
  </si>
  <si>
    <t>1. Design of a natural gas network</t>
    <phoneticPr fontId="1" type="noConversion"/>
  </si>
  <si>
    <t>2. Fluid dynamic analysis of the network</t>
    <phoneticPr fontId="1" type="noConversion"/>
  </si>
  <si>
    <r>
      <t xml:space="preserve">The goal of this work is to design and simulate a municipal gsa network </t>
    </r>
    <r>
      <rPr>
        <sz val="11"/>
        <color rgb="FFFF0000"/>
        <rFont val="等线"/>
        <family val="3"/>
        <charset val="134"/>
        <scheme val="minor"/>
      </rPr>
      <t>4th species</t>
    </r>
    <phoneticPr fontId="1" type="noConversion"/>
  </si>
  <si>
    <t xml:space="preserve">Part 1 </t>
    <phoneticPr fontId="1" type="noConversion"/>
  </si>
  <si>
    <t>At least 15 buildings, each wuth a different volume, between 100,000 cubic meter to 500,000 cubic meter</t>
    <phoneticPr fontId="1" type="noConversion"/>
  </si>
  <si>
    <t>Building Num</t>
    <phoneticPr fontId="1" type="noConversion"/>
  </si>
  <si>
    <t>Choose a typical gas in italia:</t>
    <phoneticPr fontId="1" type="noConversion"/>
  </si>
  <si>
    <t>Gas Algerino</t>
    <phoneticPr fontId="1" type="noConversion"/>
  </si>
  <si>
    <t>Considering the war of Russia resulting in unreliable and unsustained of Gas Russo, we chosse the Gas Algerino as the supply gas in our project, which the second largest supply source.</t>
    <phoneticPr fontId="1" type="noConversion"/>
  </si>
  <si>
    <t>Buildings type</t>
    <phoneticPr fontId="1" type="noConversion"/>
  </si>
  <si>
    <t>volumetric heat transfer coefficient</t>
    <phoneticPr fontId="1" type="noConversion"/>
  </si>
  <si>
    <t>new</t>
    <phoneticPr fontId="1" type="noConversion"/>
  </si>
  <si>
    <t>old</t>
    <phoneticPr fontId="1" type="noConversion"/>
  </si>
  <si>
    <t>heat transfer coefficients for new  and old buildings</t>
    <phoneticPr fontId="1" type="noConversion"/>
  </si>
  <si>
    <t>W/m3K</t>
    <phoneticPr fontId="1" type="noConversion"/>
  </si>
  <si>
    <t>maybe change</t>
    <phoneticPr fontId="1" type="noConversion"/>
  </si>
  <si>
    <t>T in,D(℃)</t>
    <phoneticPr fontId="1" type="noConversion"/>
  </si>
  <si>
    <t>T out,act(℃)</t>
    <phoneticPr fontId="1" type="noConversion"/>
  </si>
  <si>
    <t>Building Volume (m3)</t>
    <phoneticPr fontId="1" type="noConversion"/>
  </si>
  <si>
    <t>boiler eficiency</t>
    <phoneticPr fontId="1" type="noConversion"/>
  </si>
  <si>
    <t>Phi heat demand (Kw)</t>
    <phoneticPr fontId="1" type="noConversion"/>
  </si>
  <si>
    <t>Sum</t>
    <phoneticPr fontId="1" type="noConversion"/>
  </si>
  <si>
    <t>BOSCH</t>
    <phoneticPr fontId="1" type="noConversion"/>
  </si>
  <si>
    <t>https://www.bosch-thermotechnology.com/it/it/residenziale/assistenza-e-servizi/documentazione/catalogo-prodotti/</t>
    <phoneticPr fontId="1" type="noConversion"/>
  </si>
  <si>
    <t>LHV</t>
    <phoneticPr fontId="1" type="noConversion"/>
  </si>
  <si>
    <t>kWh-ch</t>
    <phoneticPr fontId="1" type="noConversion"/>
  </si>
  <si>
    <t>kwh/Sm3</t>
    <phoneticPr fontId="1" type="noConversion"/>
  </si>
  <si>
    <t>MJ/Sm3</t>
    <phoneticPr fontId="1" type="noConversion"/>
  </si>
  <si>
    <t>Sm3/s</t>
    <phoneticPr fontId="1" type="noConversion"/>
  </si>
  <si>
    <t>Density</t>
    <phoneticPr fontId="1" type="noConversion"/>
  </si>
  <si>
    <t>(kg/Sm3)</t>
    <phoneticPr fontId="1" type="noConversion"/>
  </si>
  <si>
    <t>Kg/s</t>
    <phoneticPr fontId="1" type="noConversion"/>
  </si>
  <si>
    <t>Md Kg/h</t>
    <phoneticPr fontId="1" type="noConversion"/>
  </si>
  <si>
    <t>Qd Sm3/h</t>
    <phoneticPr fontId="1" type="noConversion"/>
  </si>
  <si>
    <t>Node</t>
    <phoneticPr fontId="1" type="noConversion"/>
  </si>
  <si>
    <t>Branchs</t>
    <phoneticPr fontId="1" type="noConversion"/>
  </si>
  <si>
    <t>N6</t>
    <phoneticPr fontId="1" type="noConversion"/>
  </si>
  <si>
    <t>N18</t>
    <phoneticPr fontId="1" type="noConversion"/>
  </si>
  <si>
    <t>N8</t>
    <phoneticPr fontId="1" type="noConversion"/>
  </si>
  <si>
    <t>N28</t>
    <phoneticPr fontId="1" type="noConversion"/>
  </si>
  <si>
    <t>N21</t>
    <phoneticPr fontId="1" type="noConversion"/>
  </si>
  <si>
    <t>N25</t>
    <phoneticPr fontId="1" type="noConversion"/>
  </si>
  <si>
    <t>N10</t>
    <phoneticPr fontId="1" type="noConversion"/>
  </si>
  <si>
    <t>N23</t>
    <phoneticPr fontId="1" type="noConversion"/>
  </si>
  <si>
    <t>N12</t>
    <phoneticPr fontId="1" type="noConversion"/>
  </si>
  <si>
    <t>N15</t>
    <phoneticPr fontId="1" type="noConversion"/>
  </si>
  <si>
    <t>Connection</t>
    <phoneticPr fontId="1" type="noConversion"/>
  </si>
  <si>
    <t>N1-N2</t>
    <phoneticPr fontId="1" type="noConversion"/>
  </si>
  <si>
    <t>N2-N3</t>
    <phoneticPr fontId="1" type="noConversion"/>
  </si>
  <si>
    <t>N5-N6</t>
    <phoneticPr fontId="1" type="noConversion"/>
  </si>
  <si>
    <t>N5-N7</t>
    <phoneticPr fontId="1" type="noConversion"/>
  </si>
  <si>
    <t>N9-N10</t>
    <phoneticPr fontId="1" type="noConversion"/>
  </si>
  <si>
    <t>N9-N11</t>
    <phoneticPr fontId="1" type="noConversion"/>
  </si>
  <si>
    <t>N11-N12</t>
    <phoneticPr fontId="1" type="noConversion"/>
  </si>
  <si>
    <t>N11-N13</t>
    <phoneticPr fontId="1" type="noConversion"/>
  </si>
  <si>
    <t>Length</t>
    <phoneticPr fontId="1" type="noConversion"/>
  </si>
  <si>
    <t>N7</t>
    <phoneticPr fontId="1" type="noConversion"/>
  </si>
  <si>
    <t>N14</t>
    <phoneticPr fontId="1" type="noConversion"/>
  </si>
  <si>
    <t>N17</t>
    <phoneticPr fontId="1" type="noConversion"/>
  </si>
  <si>
    <t>N20</t>
    <phoneticPr fontId="1" type="noConversion"/>
  </si>
  <si>
    <t>N24</t>
    <phoneticPr fontId="1" type="noConversion"/>
  </si>
  <si>
    <t>N27</t>
    <phoneticPr fontId="1" type="noConversion"/>
  </si>
  <si>
    <t>N30</t>
    <phoneticPr fontId="1" type="noConversion"/>
  </si>
  <si>
    <t>N31</t>
    <phoneticPr fontId="1" type="noConversion"/>
  </si>
  <si>
    <t>N3-N4</t>
    <phoneticPr fontId="1" type="noConversion"/>
  </si>
  <si>
    <t>N4-N8</t>
    <phoneticPr fontId="1" type="noConversion"/>
  </si>
  <si>
    <t>N4-N5</t>
    <phoneticPr fontId="1" type="noConversion"/>
  </si>
  <si>
    <t>N4-N9</t>
    <phoneticPr fontId="1" type="noConversion"/>
  </si>
  <si>
    <t>N13-N14</t>
    <phoneticPr fontId="1" type="noConversion"/>
  </si>
  <si>
    <t>N13-N15</t>
    <phoneticPr fontId="1" type="noConversion"/>
  </si>
  <si>
    <t>N13-N16</t>
    <phoneticPr fontId="1" type="noConversion"/>
  </si>
  <si>
    <t>N16-N17</t>
    <phoneticPr fontId="1" type="noConversion"/>
  </si>
  <si>
    <t>N16-N18</t>
    <phoneticPr fontId="1" type="noConversion"/>
  </si>
  <si>
    <t>N2-N19</t>
    <phoneticPr fontId="1" type="noConversion"/>
  </si>
  <si>
    <t>N19-N20</t>
    <phoneticPr fontId="1" type="noConversion"/>
  </si>
  <si>
    <t>N19-N21</t>
    <phoneticPr fontId="1" type="noConversion"/>
  </si>
  <si>
    <t>N19-N22</t>
    <phoneticPr fontId="1" type="noConversion"/>
  </si>
  <si>
    <t>N22-N23</t>
    <phoneticPr fontId="1" type="noConversion"/>
  </si>
  <si>
    <t>N22-N24</t>
    <phoneticPr fontId="1" type="noConversion"/>
  </si>
  <si>
    <t>N22-N25</t>
    <phoneticPr fontId="1" type="noConversion"/>
  </si>
  <si>
    <t>N2-N26</t>
    <phoneticPr fontId="1" type="noConversion"/>
  </si>
  <si>
    <t>N26-N27</t>
    <phoneticPr fontId="1" type="noConversion"/>
  </si>
  <si>
    <t>N26-N28</t>
    <phoneticPr fontId="1" type="noConversion"/>
  </si>
  <si>
    <t>N29-N30</t>
    <phoneticPr fontId="1" type="noConversion"/>
  </si>
  <si>
    <t>N29-N31</t>
    <phoneticPr fontId="1" type="noConversion"/>
  </si>
  <si>
    <t>WITHLOOP</t>
    <phoneticPr fontId="1" type="noConversion"/>
  </si>
  <si>
    <t>MW</t>
    <phoneticPr fontId="1" type="noConversion"/>
  </si>
  <si>
    <t>Branches</t>
    <phoneticPr fontId="1" type="noConversion"/>
  </si>
  <si>
    <t>the most stressed one</t>
    <phoneticPr fontId="1" type="noConversion"/>
  </si>
  <si>
    <t>1-2</t>
    <phoneticPr fontId="1" type="noConversion"/>
  </si>
  <si>
    <t>2-3</t>
    <phoneticPr fontId="1" type="noConversion"/>
  </si>
  <si>
    <t>3-4</t>
    <phoneticPr fontId="1" type="noConversion"/>
  </si>
  <si>
    <t>4-9</t>
    <phoneticPr fontId="1" type="noConversion"/>
  </si>
  <si>
    <t>9-11</t>
    <phoneticPr fontId="1" type="noConversion"/>
  </si>
  <si>
    <t>11-13</t>
    <phoneticPr fontId="1" type="noConversion"/>
  </si>
  <si>
    <t>13-16</t>
    <phoneticPr fontId="1" type="noConversion"/>
  </si>
  <si>
    <t>16-17</t>
    <phoneticPr fontId="1" type="noConversion"/>
  </si>
  <si>
    <t>Length[m]</t>
    <phoneticPr fontId="1" type="noConversion"/>
  </si>
  <si>
    <t>Eq.Length[m]</t>
    <phoneticPr fontId="1" type="noConversion"/>
  </si>
  <si>
    <t>Tot_Length[m]</t>
    <phoneticPr fontId="1" type="noConversion"/>
  </si>
  <si>
    <t>total</t>
    <phoneticPr fontId="1" type="noConversion"/>
  </si>
  <si>
    <t>Q[Sm3/s]</t>
    <phoneticPr fontId="1" type="noConversion"/>
  </si>
  <si>
    <t>Pin(bar_g)</t>
    <phoneticPr fontId="1" type="noConversion"/>
  </si>
  <si>
    <t>Pout(bar_g)</t>
    <phoneticPr fontId="1" type="noConversion"/>
  </si>
  <si>
    <t>dPlin [bar/m]</t>
    <phoneticPr fontId="1" type="noConversion"/>
  </si>
  <si>
    <t>Pin(bar_a)</t>
    <phoneticPr fontId="1" type="noConversion"/>
  </si>
  <si>
    <t>Pout(bar_a)</t>
    <phoneticPr fontId="1" type="noConversion"/>
  </si>
  <si>
    <t>atmP(bar)</t>
    <phoneticPr fontId="1" type="noConversion"/>
  </si>
  <si>
    <t>deltaP(bar)</t>
    <phoneticPr fontId="1" type="noConversion"/>
  </si>
  <si>
    <t>Pin(kgf/cm2)</t>
    <phoneticPr fontId="1" type="noConversion"/>
  </si>
  <si>
    <t>1</t>
    <phoneticPr fontId="1" type="noConversion"/>
  </si>
  <si>
    <t>bar</t>
    <phoneticPr fontId="1" type="noConversion"/>
  </si>
  <si>
    <t>kg/cm2</t>
    <phoneticPr fontId="1" type="noConversion"/>
  </si>
  <si>
    <t>Pout(kgf/cm2)</t>
    <phoneticPr fontId="1" type="noConversion"/>
  </si>
  <si>
    <t>R_RMP</t>
    <phoneticPr fontId="1" type="noConversion"/>
  </si>
  <si>
    <t>RD</t>
    <phoneticPr fontId="1" type="noConversion"/>
  </si>
  <si>
    <t>D(m)</t>
    <phoneticPr fontId="1" type="noConversion"/>
  </si>
  <si>
    <t>rho air</t>
    <phoneticPr fontId="1" type="noConversion"/>
  </si>
  <si>
    <t>kg/m3</t>
    <phoneticPr fontId="1" type="noConversion"/>
  </si>
  <si>
    <t>D(mm)</t>
    <phoneticPr fontId="1" type="noConversion"/>
  </si>
  <si>
    <t>A(m2)</t>
    <phoneticPr fontId="1" type="noConversion"/>
  </si>
  <si>
    <t>P_m(bara)</t>
    <phoneticPr fontId="1" type="noConversion"/>
  </si>
  <si>
    <t>rho_actual(kg/m3)</t>
    <phoneticPr fontId="1" type="noConversion"/>
  </si>
  <si>
    <t>t (℃)</t>
    <phoneticPr fontId="1" type="noConversion"/>
  </si>
  <si>
    <t>T (K)</t>
    <phoneticPr fontId="1" type="noConversion"/>
  </si>
  <si>
    <t>R(kJ/kmolK)</t>
    <phoneticPr fontId="1" type="noConversion"/>
  </si>
  <si>
    <t>MM (kg/kmol)</t>
    <phoneticPr fontId="1" type="noConversion"/>
  </si>
  <si>
    <t>Z</t>
    <phoneticPr fontId="1" type="noConversion"/>
  </si>
  <si>
    <t>m_dot(kg/s)</t>
    <phoneticPr fontId="1" type="noConversion"/>
  </si>
  <si>
    <t>velocity(m/s)</t>
    <phoneticPr fontId="1" type="noConversion"/>
  </si>
  <si>
    <t>Q_actual(m3/s)</t>
    <phoneticPr fontId="1" type="noConversion"/>
  </si>
  <si>
    <t>Gas:</t>
    <phoneticPr fontId="1" type="noConversion"/>
  </si>
  <si>
    <t>✔</t>
    <phoneticPr fontId="1" type="noConversion"/>
  </si>
  <si>
    <t>Max velocity check</t>
    <phoneticPr fontId="1" type="noConversion"/>
  </si>
  <si>
    <t>Real D</t>
    <phoneticPr fontId="1" type="noConversion"/>
  </si>
  <si>
    <t>mol %</t>
    <phoneticPr fontId="1" type="noConversion"/>
  </si>
  <si>
    <t>cricital T</t>
    <phoneticPr fontId="1" type="noConversion"/>
  </si>
  <si>
    <t>critical P</t>
    <phoneticPr fontId="1" type="noConversion"/>
  </si>
  <si>
    <t>metano</t>
    <phoneticPr fontId="1" type="noConversion"/>
  </si>
  <si>
    <t>etano</t>
    <phoneticPr fontId="1" type="noConversion"/>
  </si>
  <si>
    <t>propano</t>
    <phoneticPr fontId="1" type="noConversion"/>
  </si>
  <si>
    <t>azoto</t>
    <phoneticPr fontId="1" type="noConversion"/>
  </si>
  <si>
    <t>anidride carbonia</t>
    <phoneticPr fontId="1" type="noConversion"/>
  </si>
  <si>
    <t>mixture T</t>
    <phoneticPr fontId="1" type="noConversion"/>
  </si>
  <si>
    <t>mixture P</t>
    <phoneticPr fontId="1" type="noConversion"/>
  </si>
  <si>
    <t>N26-N29</t>
    <phoneticPr fontId="1" type="noConversion"/>
  </si>
  <si>
    <t>B</t>
    <phoneticPr fontId="1" type="noConversion"/>
  </si>
  <si>
    <t>16-18</t>
    <phoneticPr fontId="1" type="noConversion"/>
  </si>
  <si>
    <t>13-14</t>
    <phoneticPr fontId="1" type="noConversion"/>
  </si>
  <si>
    <t>13-15</t>
    <phoneticPr fontId="1" type="noConversion"/>
  </si>
  <si>
    <t>11-12</t>
    <phoneticPr fontId="1" type="noConversion"/>
  </si>
  <si>
    <t>9-10</t>
    <phoneticPr fontId="1" type="noConversion"/>
  </si>
  <si>
    <t>4-8</t>
    <phoneticPr fontId="1" type="noConversion"/>
  </si>
  <si>
    <t>4-5</t>
    <phoneticPr fontId="1" type="noConversion"/>
  </si>
  <si>
    <t>5-7</t>
    <phoneticPr fontId="1" type="noConversion"/>
  </si>
  <si>
    <t>5-6</t>
    <phoneticPr fontId="1" type="noConversion"/>
  </si>
  <si>
    <t xml:space="preserve">plinear </t>
    <phoneticPr fontId="1" type="noConversion"/>
  </si>
  <si>
    <t>2-19</t>
    <phoneticPr fontId="1" type="noConversion"/>
  </si>
  <si>
    <t>19-22</t>
    <phoneticPr fontId="1" type="noConversion"/>
  </si>
  <si>
    <t>22-25</t>
    <phoneticPr fontId="1" type="noConversion"/>
  </si>
  <si>
    <t>19-20</t>
    <phoneticPr fontId="1" type="noConversion"/>
  </si>
  <si>
    <t>19-21</t>
    <phoneticPr fontId="1" type="noConversion"/>
  </si>
  <si>
    <t>22-23</t>
    <phoneticPr fontId="1" type="noConversion"/>
  </si>
  <si>
    <t>22-24</t>
    <phoneticPr fontId="1" type="noConversion"/>
  </si>
  <si>
    <t>plinear</t>
    <phoneticPr fontId="1" type="noConversion"/>
  </si>
  <si>
    <t>×</t>
    <phoneticPr fontId="1" type="noConversion"/>
  </si>
  <si>
    <t>2-26</t>
    <phoneticPr fontId="1" type="noConversion"/>
  </si>
  <si>
    <t>26-29</t>
    <phoneticPr fontId="1" type="noConversion"/>
  </si>
  <si>
    <t>29-31</t>
    <phoneticPr fontId="1" type="noConversion"/>
  </si>
  <si>
    <t>29-30</t>
    <phoneticPr fontId="1" type="noConversion"/>
  </si>
  <si>
    <t>26-28</t>
    <phoneticPr fontId="1" type="noConversion"/>
  </si>
  <si>
    <t>26-27</t>
    <phoneticPr fontId="1" type="noConversion"/>
  </si>
  <si>
    <t>Hydrogen</t>
    <phoneticPr fontId="1" type="noConversion"/>
  </si>
  <si>
    <t>velocities within pipelines should be low enough to limit the drag of impurities and noise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</si>
</sst>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0.0"/>
    <numFmt numFmtId="177" formatCode="0.0000"/>
    <numFmt numFmtId="178" formatCode="0.0000_ "/>
    <numFmt numFmtId="179" formatCode="0.000_);[Red]\(0.000\)"/>
    <numFmt numFmtId="180" formatCode="0.00_ "/>
    <numFmt numFmtId="181" formatCode="0.0000000_ "/>
    <numFmt numFmtId="182" formatCode="0.000_ "/>
    <numFmt numFmtId="183" formatCode="0_ "/>
    <numFmt numFmtId="184" formatCode="0.00_);[Red]\(0.00\)"/>
    <numFmt numFmtId="185" formatCode="0.00000_ "/>
  </numFmts>
  <fonts count="11" x14ac:knownFonts="1">
    <font>
      <sz val="11"/>
      <color theme="1"/>
      <name val="等线"/>
      <family val="2"/>
      <scheme val="minor"/>
    </font>
    <font>
      <sz val="9"/>
      <name val="等线"/>
      <family val="3"/>
      <charset val="134"/>
      <scheme val="minor"/>
    </font>
    <font>
      <sz val="11"/>
      <color rgb="FFFF0000"/>
      <name val="等线"/>
      <family val="3"/>
      <charset val="134"/>
      <scheme val="minor"/>
    </font>
    <font>
      <b/>
      <sz val="11"/>
      <color rgb="FFFF0000"/>
      <name val="等线"/>
      <family val="3"/>
      <charset val="134"/>
      <scheme val="minor"/>
    </font>
    <font>
      <sz val="11"/>
      <color rgb="FFFF0000"/>
      <name val="等线"/>
      <family val="2"/>
      <scheme val="minor"/>
    </font>
    <font>
      <u/>
      <sz val="11"/>
      <color theme="10"/>
      <name val="等线"/>
      <family val="2"/>
      <scheme val="minor"/>
    </font>
    <font>
      <sz val="11"/>
      <color theme="8"/>
      <name val="等线"/>
      <family val="2"/>
      <scheme val="minor"/>
    </font>
    <font>
      <sz val="11"/>
      <color theme="8"/>
      <name val="等线"/>
      <family val="3"/>
      <charset val="134"/>
      <scheme val="minor"/>
    </font>
    <font>
      <sz val="11"/>
      <name val="等线"/>
      <family val="3"/>
      <charset val="134"/>
      <scheme val="minor"/>
    </font>
    <font>
      <sz val="11"/>
      <color theme="1"/>
      <name val="Segoe UI Symbol"/>
      <family val="2"/>
    </font>
    <font>
      <b/>
      <sz val="11"/>
      <color theme="1"/>
      <name val="Segoe UI Symbol"/>
      <family val="2"/>
    </font>
  </fonts>
  <fills count="11">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63">
    <xf numFmtId="0" fontId="0" fillId="0" borderId="0" xfId="0"/>
    <xf numFmtId="0" fontId="0" fillId="0" borderId="0" xfId="0" applyAlignment="1">
      <alignment horizontal="center"/>
    </xf>
    <xf numFmtId="3" fontId="0" fillId="0" borderId="0" xfId="0" applyNumberFormat="1" applyAlignment="1">
      <alignment horizontal="center"/>
    </xf>
    <xf numFmtId="0" fontId="3" fillId="0" borderId="0" xfId="0" applyFont="1"/>
    <xf numFmtId="0" fontId="0" fillId="3" borderId="0" xfId="0" applyFill="1"/>
    <xf numFmtId="176" fontId="0" fillId="0" borderId="0" xfId="0" applyNumberFormat="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0" borderId="9" xfId="0" applyBorder="1"/>
    <xf numFmtId="0" fontId="0" fillId="2" borderId="0" xfId="0" applyFill="1"/>
    <xf numFmtId="1" fontId="0" fillId="0" borderId="0" xfId="0" applyNumberFormat="1"/>
    <xf numFmtId="0" fontId="5" fillId="0" borderId="0" xfId="1"/>
    <xf numFmtId="177" fontId="0" fillId="0" borderId="0" xfId="0" applyNumberFormat="1"/>
    <xf numFmtId="0" fontId="4" fillId="0" borderId="0" xfId="0" applyFont="1" applyAlignment="1">
      <alignment horizontal="center"/>
    </xf>
    <xf numFmtId="0" fontId="4" fillId="0" borderId="0" xfId="0" applyFont="1"/>
    <xf numFmtId="0" fontId="2" fillId="0" borderId="0" xfId="0" applyFont="1"/>
    <xf numFmtId="0" fontId="6" fillId="0" borderId="0" xfId="0" applyFont="1"/>
    <xf numFmtId="0" fontId="7" fillId="0" borderId="0" xfId="0" applyFont="1"/>
    <xf numFmtId="49" fontId="0" fillId="0" borderId="0" xfId="0" applyNumberFormat="1"/>
    <xf numFmtId="0" fontId="0" fillId="5" borderId="0" xfId="0" applyFill="1"/>
    <xf numFmtId="179" fontId="0" fillId="0" borderId="0" xfId="0" applyNumberFormat="1"/>
    <xf numFmtId="180" fontId="0" fillId="0" borderId="0" xfId="0" applyNumberFormat="1"/>
    <xf numFmtId="181" fontId="0" fillId="0" borderId="0" xfId="0" applyNumberFormat="1"/>
    <xf numFmtId="182" fontId="0" fillId="0" borderId="0" xfId="0" applyNumberFormat="1"/>
    <xf numFmtId="0" fontId="8" fillId="0" borderId="0" xfId="0" applyFont="1"/>
    <xf numFmtId="178" fontId="8" fillId="0" borderId="0" xfId="0" applyNumberFormat="1" applyFont="1"/>
    <xf numFmtId="49" fontId="0" fillId="2" borderId="0" xfId="0" applyNumberFormat="1" applyFill="1"/>
    <xf numFmtId="0" fontId="0" fillId="6" borderId="0" xfId="0" applyFill="1"/>
    <xf numFmtId="178" fontId="0" fillId="0" borderId="0" xfId="0" applyNumberFormat="1"/>
    <xf numFmtId="0" fontId="9" fillId="0" borderId="0" xfId="0" applyFont="1"/>
    <xf numFmtId="10" fontId="0" fillId="0" borderId="0" xfId="0" applyNumberFormat="1"/>
    <xf numFmtId="0" fontId="0" fillId="7" borderId="0" xfId="0" applyFill="1"/>
    <xf numFmtId="183" fontId="0" fillId="8" borderId="0" xfId="0" applyNumberFormat="1" applyFill="1"/>
    <xf numFmtId="0" fontId="0" fillId="8" borderId="0" xfId="0" applyFill="1"/>
    <xf numFmtId="182" fontId="0" fillId="9" borderId="0" xfId="0" applyNumberFormat="1" applyFill="1"/>
    <xf numFmtId="184" fontId="0" fillId="0" borderId="0" xfId="0" applyNumberFormat="1"/>
    <xf numFmtId="180" fontId="4" fillId="0" borderId="0" xfId="0" applyNumberFormat="1" applyFont="1"/>
    <xf numFmtId="184" fontId="4" fillId="0" borderId="0" xfId="0" applyNumberFormat="1" applyFont="1"/>
    <xf numFmtId="0" fontId="10" fillId="0" borderId="0" xfId="0" applyFont="1"/>
    <xf numFmtId="185" fontId="0" fillId="0" borderId="0" xfId="0" applyNumberFormat="1"/>
    <xf numFmtId="0" fontId="0" fillId="10" borderId="0" xfId="0" applyFill="1"/>
    <xf numFmtId="179" fontId="0" fillId="10" borderId="0" xfId="0" applyNumberFormat="1" applyFill="1"/>
    <xf numFmtId="182" fontId="0" fillId="10" borderId="0" xfId="0" applyNumberFormat="1" applyFill="1"/>
    <xf numFmtId="9" fontId="0" fillId="0" borderId="0" xfId="0" applyNumberFormat="1"/>
    <xf numFmtId="180" fontId="0" fillId="2" borderId="0" xfId="0" applyNumberFormat="1" applyFill="1"/>
    <xf numFmtId="0" fontId="4" fillId="7" borderId="0" xfId="0" applyFont="1" applyFill="1"/>
    <xf numFmtId="0" fontId="0" fillId="2" borderId="1" xfId="0" applyFill="1" applyBorder="1" applyAlignment="1">
      <alignment horizontal="left"/>
    </xf>
    <xf numFmtId="0" fontId="0" fillId="4" borderId="2" xfId="0" applyFill="1" applyBorder="1" applyAlignment="1">
      <alignment horizontal="left" wrapText="1"/>
    </xf>
    <xf numFmtId="0" fontId="0" fillId="4" borderId="3" xfId="0" applyFill="1" applyBorder="1" applyAlignment="1">
      <alignment horizontal="left" wrapText="1"/>
    </xf>
    <xf numFmtId="0" fontId="0" fillId="4" borderId="4" xfId="0" applyFill="1" applyBorder="1" applyAlignment="1">
      <alignment horizontal="left" wrapText="1"/>
    </xf>
    <xf numFmtId="0" fontId="0" fillId="4" borderId="5" xfId="0" applyFill="1" applyBorder="1" applyAlignment="1">
      <alignment horizontal="left" wrapText="1"/>
    </xf>
    <xf numFmtId="0" fontId="0" fillId="4" borderId="0" xfId="0" applyFill="1" applyAlignment="1">
      <alignment horizontal="left" wrapText="1"/>
    </xf>
    <xf numFmtId="0" fontId="0" fillId="4" borderId="6" xfId="0" applyFill="1" applyBorder="1" applyAlignment="1">
      <alignment horizontal="left" wrapText="1"/>
    </xf>
    <xf numFmtId="0" fontId="0" fillId="4" borderId="7" xfId="0" applyFill="1" applyBorder="1" applyAlignment="1">
      <alignment horizontal="left" wrapText="1"/>
    </xf>
    <xf numFmtId="0" fontId="0" fillId="4" borderId="8" xfId="0" applyFill="1" applyBorder="1" applyAlignment="1">
      <alignment horizontal="left" wrapText="1"/>
    </xf>
    <xf numFmtId="0" fontId="0" fillId="4" borderId="9" xfId="0" applyFill="1" applyBorder="1" applyAlignment="1">
      <alignment horizontal="lef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2" borderId="0" xfId="0" applyFill="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21</xdr:col>
      <xdr:colOff>557893</xdr:colOff>
      <xdr:row>35</xdr:row>
      <xdr:rowOff>81643</xdr:rowOff>
    </xdr:from>
    <xdr:to>
      <xdr:col>25</xdr:col>
      <xdr:colOff>599101</xdr:colOff>
      <xdr:row>39</xdr:row>
      <xdr:rowOff>174283</xdr:rowOff>
    </xdr:to>
    <xdr:pic>
      <xdr:nvPicPr>
        <xdr:cNvPr id="21" name="图片 20">
          <a:extLst>
            <a:ext uri="{FF2B5EF4-FFF2-40B4-BE49-F238E27FC236}">
              <a16:creationId xmlns:a16="http://schemas.microsoft.com/office/drawing/2014/main" id="{C6E71DAB-844F-A104-4016-CC1E7058C715}"/>
            </a:ext>
          </a:extLst>
        </xdr:cNvPr>
        <xdr:cNvPicPr>
          <a:picLocks noChangeAspect="1"/>
        </xdr:cNvPicPr>
      </xdr:nvPicPr>
      <xdr:blipFill>
        <a:blip xmlns:r="http://schemas.openxmlformats.org/officeDocument/2006/relationships" r:embed="rId1"/>
        <a:stretch>
          <a:fillRect/>
        </a:stretch>
      </xdr:blipFill>
      <xdr:spPr>
        <a:xfrm>
          <a:off x="11266714" y="5742214"/>
          <a:ext cx="2762636" cy="800212"/>
        </a:xfrm>
        <a:prstGeom prst="rect">
          <a:avLst/>
        </a:prstGeom>
      </xdr:spPr>
    </xdr:pic>
    <xdr:clientData/>
  </xdr:twoCellAnchor>
  <xdr:twoCellAnchor editAs="oneCell">
    <xdr:from>
      <xdr:col>8</xdr:col>
      <xdr:colOff>76201</xdr:colOff>
      <xdr:row>0</xdr:row>
      <xdr:rowOff>0</xdr:rowOff>
    </xdr:from>
    <xdr:to>
      <xdr:col>13</xdr:col>
      <xdr:colOff>423457</xdr:colOff>
      <xdr:row>9</xdr:row>
      <xdr:rowOff>161925</xdr:rowOff>
    </xdr:to>
    <xdr:pic>
      <xdr:nvPicPr>
        <xdr:cNvPr id="2" name="图片 1">
          <a:extLst>
            <a:ext uri="{FF2B5EF4-FFF2-40B4-BE49-F238E27FC236}">
              <a16:creationId xmlns:a16="http://schemas.microsoft.com/office/drawing/2014/main" id="{961E99A6-8BFD-3890-F752-49C536721AE9}"/>
            </a:ext>
          </a:extLst>
        </xdr:cNvPr>
        <xdr:cNvPicPr>
          <a:picLocks noChangeAspect="1"/>
        </xdr:cNvPicPr>
      </xdr:nvPicPr>
      <xdr:blipFill>
        <a:blip xmlns:r="http://schemas.openxmlformats.org/officeDocument/2006/relationships" r:embed="rId2"/>
        <a:stretch>
          <a:fillRect/>
        </a:stretch>
      </xdr:blipFill>
      <xdr:spPr>
        <a:xfrm>
          <a:off x="5562601" y="0"/>
          <a:ext cx="4097064" cy="1790700"/>
        </a:xfrm>
        <a:prstGeom prst="rect">
          <a:avLst/>
        </a:prstGeom>
      </xdr:spPr>
    </xdr:pic>
    <xdr:clientData/>
  </xdr:twoCellAnchor>
  <xdr:twoCellAnchor editAs="oneCell">
    <xdr:from>
      <xdr:col>15</xdr:col>
      <xdr:colOff>208191</xdr:colOff>
      <xdr:row>0</xdr:row>
      <xdr:rowOff>14968</xdr:rowOff>
    </xdr:from>
    <xdr:to>
      <xdr:col>23</xdr:col>
      <xdr:colOff>322491</xdr:colOff>
      <xdr:row>9</xdr:row>
      <xdr:rowOff>28776</xdr:rowOff>
    </xdr:to>
    <xdr:pic>
      <xdr:nvPicPr>
        <xdr:cNvPr id="3" name="图片 2">
          <a:extLst>
            <a:ext uri="{FF2B5EF4-FFF2-40B4-BE49-F238E27FC236}">
              <a16:creationId xmlns:a16="http://schemas.microsoft.com/office/drawing/2014/main" id="{6731153C-084C-FA4F-9803-4398C53A6DCA}"/>
            </a:ext>
          </a:extLst>
        </xdr:cNvPr>
        <xdr:cNvPicPr>
          <a:picLocks noChangeAspect="1"/>
        </xdr:cNvPicPr>
      </xdr:nvPicPr>
      <xdr:blipFill>
        <a:blip xmlns:r="http://schemas.openxmlformats.org/officeDocument/2006/relationships" r:embed="rId3"/>
        <a:stretch>
          <a:fillRect/>
        </a:stretch>
      </xdr:blipFill>
      <xdr:spPr>
        <a:xfrm>
          <a:off x="10631262" y="14968"/>
          <a:ext cx="5557157" cy="1605844"/>
        </a:xfrm>
        <a:prstGeom prst="rect">
          <a:avLst/>
        </a:prstGeom>
      </xdr:spPr>
    </xdr:pic>
    <xdr:clientData/>
  </xdr:twoCellAnchor>
  <xdr:twoCellAnchor editAs="oneCell">
    <xdr:from>
      <xdr:col>21</xdr:col>
      <xdr:colOff>24153</xdr:colOff>
      <xdr:row>10</xdr:row>
      <xdr:rowOff>33057</xdr:rowOff>
    </xdr:from>
    <xdr:to>
      <xdr:col>30</xdr:col>
      <xdr:colOff>678450</xdr:colOff>
      <xdr:row>32</xdr:row>
      <xdr:rowOff>174251</xdr:rowOff>
    </xdr:to>
    <xdr:pic>
      <xdr:nvPicPr>
        <xdr:cNvPr id="4" name="图片 3">
          <a:extLst>
            <a:ext uri="{FF2B5EF4-FFF2-40B4-BE49-F238E27FC236}">
              <a16:creationId xmlns:a16="http://schemas.microsoft.com/office/drawing/2014/main" id="{F30E7C6E-3C70-9358-3E5E-0B94BC0C7BB6}"/>
            </a:ext>
          </a:extLst>
        </xdr:cNvPr>
        <xdr:cNvPicPr>
          <a:picLocks noChangeAspect="1"/>
        </xdr:cNvPicPr>
      </xdr:nvPicPr>
      <xdr:blipFill>
        <a:blip xmlns:r="http://schemas.openxmlformats.org/officeDocument/2006/relationships" r:embed="rId4"/>
        <a:stretch>
          <a:fillRect/>
        </a:stretch>
      </xdr:blipFill>
      <xdr:spPr>
        <a:xfrm>
          <a:off x="14076329" y="1825998"/>
          <a:ext cx="8575253" cy="4085665"/>
        </a:xfrm>
        <a:prstGeom prst="rect">
          <a:avLst/>
        </a:prstGeom>
      </xdr:spPr>
    </xdr:pic>
    <xdr:clientData/>
  </xdr:twoCellAnchor>
  <xdr:oneCellAnchor>
    <xdr:from>
      <xdr:col>24</xdr:col>
      <xdr:colOff>490818</xdr:colOff>
      <xdr:row>12</xdr:row>
      <xdr:rowOff>19048</xdr:rowOff>
    </xdr:from>
    <xdr:ext cx="733425" cy="3743327"/>
    <xdr:sp macro="" textlink="">
      <xdr:nvSpPr>
        <xdr:cNvPr id="5" name="文本框 4">
          <a:extLst>
            <a:ext uri="{FF2B5EF4-FFF2-40B4-BE49-F238E27FC236}">
              <a16:creationId xmlns:a16="http://schemas.microsoft.com/office/drawing/2014/main" id="{C3735C61-675A-D5BE-E7BA-C1059FB87815}"/>
            </a:ext>
          </a:extLst>
        </xdr:cNvPr>
        <xdr:cNvSpPr txBox="1"/>
      </xdr:nvSpPr>
      <xdr:spPr>
        <a:xfrm>
          <a:off x="16593671" y="2170577"/>
          <a:ext cx="733425" cy="3743327"/>
        </a:xfrm>
        <a:prstGeom prst="rect">
          <a:avLst/>
        </a:prstGeom>
        <a:noFill/>
        <a:ln w="571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endParaRPr lang="zh-CN" altLang="en-US" sz="1100">
            <a:noFill/>
          </a:endParaRPr>
        </a:p>
      </xdr:txBody>
    </xdr:sp>
    <xdr:clientData/>
  </xdr:oneCellAnchor>
  <xdr:twoCellAnchor editAs="oneCell">
    <xdr:from>
      <xdr:col>16</xdr:col>
      <xdr:colOff>459444</xdr:colOff>
      <xdr:row>22</xdr:row>
      <xdr:rowOff>168089</xdr:rowOff>
    </xdr:from>
    <xdr:to>
      <xdr:col>20</xdr:col>
      <xdr:colOff>224118</xdr:colOff>
      <xdr:row>30</xdr:row>
      <xdr:rowOff>155074</xdr:rowOff>
    </xdr:to>
    <xdr:pic>
      <xdr:nvPicPr>
        <xdr:cNvPr id="6" name="图片 5">
          <a:extLst>
            <a:ext uri="{FF2B5EF4-FFF2-40B4-BE49-F238E27FC236}">
              <a16:creationId xmlns:a16="http://schemas.microsoft.com/office/drawing/2014/main" id="{BA7FE902-3C48-8CC0-B1E1-6ED24B74E757}"/>
            </a:ext>
          </a:extLst>
        </xdr:cNvPr>
        <xdr:cNvPicPr>
          <a:picLocks noChangeAspect="1"/>
        </xdr:cNvPicPr>
      </xdr:nvPicPr>
      <xdr:blipFill>
        <a:blip xmlns:r="http://schemas.openxmlformats.org/officeDocument/2006/relationships" r:embed="rId5"/>
        <a:stretch>
          <a:fillRect/>
        </a:stretch>
      </xdr:blipFill>
      <xdr:spPr>
        <a:xfrm>
          <a:off x="12135973" y="4112560"/>
          <a:ext cx="2498910" cy="1421338"/>
        </a:xfrm>
        <a:prstGeom prst="rect">
          <a:avLst/>
        </a:prstGeom>
      </xdr:spPr>
    </xdr:pic>
    <xdr:clientData/>
  </xdr:twoCellAnchor>
  <xdr:twoCellAnchor>
    <xdr:from>
      <xdr:col>15</xdr:col>
      <xdr:colOff>11206</xdr:colOff>
      <xdr:row>11</xdr:row>
      <xdr:rowOff>56030</xdr:rowOff>
    </xdr:from>
    <xdr:to>
      <xdr:col>16</xdr:col>
      <xdr:colOff>459445</xdr:colOff>
      <xdr:row>26</xdr:row>
      <xdr:rowOff>161582</xdr:rowOff>
    </xdr:to>
    <xdr:cxnSp macro="">
      <xdr:nvCxnSpPr>
        <xdr:cNvPr id="9" name="连接符: 肘形 8">
          <a:extLst>
            <a:ext uri="{FF2B5EF4-FFF2-40B4-BE49-F238E27FC236}">
              <a16:creationId xmlns:a16="http://schemas.microsoft.com/office/drawing/2014/main" id="{6F67FE72-618B-D450-0F8C-A5ED750138C1}"/>
            </a:ext>
          </a:extLst>
        </xdr:cNvPr>
        <xdr:cNvCxnSpPr>
          <a:stCxn id="6" idx="1"/>
        </xdr:cNvCxnSpPr>
      </xdr:nvCxnSpPr>
      <xdr:spPr>
        <a:xfrm rot="10800000">
          <a:off x="11004177" y="2028265"/>
          <a:ext cx="1131797" cy="279496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504264</xdr:colOff>
      <xdr:row>11</xdr:row>
      <xdr:rowOff>27113</xdr:rowOff>
    </xdr:from>
    <xdr:to>
      <xdr:col>15</xdr:col>
      <xdr:colOff>33621</xdr:colOff>
      <xdr:row>11</xdr:row>
      <xdr:rowOff>134471</xdr:rowOff>
    </xdr:to>
    <xdr:cxnSp macro="">
      <xdr:nvCxnSpPr>
        <xdr:cNvPr id="12" name="连接符: 肘形 11">
          <a:extLst>
            <a:ext uri="{FF2B5EF4-FFF2-40B4-BE49-F238E27FC236}">
              <a16:creationId xmlns:a16="http://schemas.microsoft.com/office/drawing/2014/main" id="{65DC264C-E484-4827-ABE3-888E3058E190}"/>
            </a:ext>
          </a:extLst>
        </xdr:cNvPr>
        <xdr:cNvCxnSpPr/>
      </xdr:nvCxnSpPr>
      <xdr:spPr>
        <a:xfrm rot="10800000" flipV="1">
          <a:off x="8348382" y="1999348"/>
          <a:ext cx="2678210" cy="10735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258536</xdr:colOff>
      <xdr:row>35</xdr:row>
      <xdr:rowOff>95250</xdr:rowOff>
    </xdr:from>
    <xdr:to>
      <xdr:col>21</xdr:col>
      <xdr:colOff>374403</xdr:colOff>
      <xdr:row>39</xdr:row>
      <xdr:rowOff>102153</xdr:rowOff>
    </xdr:to>
    <xdr:pic>
      <xdr:nvPicPr>
        <xdr:cNvPr id="20" name="图片 19">
          <a:extLst>
            <a:ext uri="{FF2B5EF4-FFF2-40B4-BE49-F238E27FC236}">
              <a16:creationId xmlns:a16="http://schemas.microsoft.com/office/drawing/2014/main" id="{61897209-0E02-3716-C7CC-CCCF69A7150B}"/>
            </a:ext>
          </a:extLst>
        </xdr:cNvPr>
        <xdr:cNvPicPr>
          <a:picLocks noChangeAspect="1"/>
        </xdr:cNvPicPr>
      </xdr:nvPicPr>
      <xdr:blipFill>
        <a:blip xmlns:r="http://schemas.openxmlformats.org/officeDocument/2006/relationships" r:embed="rId6"/>
        <a:stretch>
          <a:fillRect/>
        </a:stretch>
      </xdr:blipFill>
      <xdr:spPr>
        <a:xfrm>
          <a:off x="9606643" y="5755821"/>
          <a:ext cx="1476581" cy="714475"/>
        </a:xfrm>
        <a:prstGeom prst="rect">
          <a:avLst/>
        </a:prstGeom>
      </xdr:spPr>
    </xdr:pic>
    <xdr:clientData/>
  </xdr:twoCellAnchor>
  <xdr:twoCellAnchor editAs="oneCell">
    <xdr:from>
      <xdr:col>26</xdr:col>
      <xdr:colOff>27214</xdr:colOff>
      <xdr:row>36</xdr:row>
      <xdr:rowOff>149678</xdr:rowOff>
    </xdr:from>
    <xdr:to>
      <xdr:col>26</xdr:col>
      <xdr:colOff>1094163</xdr:colOff>
      <xdr:row>39</xdr:row>
      <xdr:rowOff>114369</xdr:rowOff>
    </xdr:to>
    <xdr:pic>
      <xdr:nvPicPr>
        <xdr:cNvPr id="22" name="图片 21">
          <a:extLst>
            <a:ext uri="{FF2B5EF4-FFF2-40B4-BE49-F238E27FC236}">
              <a16:creationId xmlns:a16="http://schemas.microsoft.com/office/drawing/2014/main" id="{596CB32B-CFF4-0D36-0F40-1C87A5BF36E1}"/>
            </a:ext>
          </a:extLst>
        </xdr:cNvPr>
        <xdr:cNvPicPr>
          <a:picLocks noChangeAspect="1"/>
        </xdr:cNvPicPr>
      </xdr:nvPicPr>
      <xdr:blipFill>
        <a:blip xmlns:r="http://schemas.openxmlformats.org/officeDocument/2006/relationships" r:embed="rId7"/>
        <a:stretch>
          <a:fillRect/>
        </a:stretch>
      </xdr:blipFill>
      <xdr:spPr>
        <a:xfrm>
          <a:off x="14369143" y="5987142"/>
          <a:ext cx="1066949" cy="495369"/>
        </a:xfrm>
        <a:prstGeom prst="rect">
          <a:avLst/>
        </a:prstGeom>
      </xdr:spPr>
    </xdr:pic>
    <xdr:clientData/>
  </xdr:twoCellAnchor>
  <xdr:twoCellAnchor editAs="oneCell">
    <xdr:from>
      <xdr:col>29</xdr:col>
      <xdr:colOff>313765</xdr:colOff>
      <xdr:row>35</xdr:row>
      <xdr:rowOff>134470</xdr:rowOff>
    </xdr:from>
    <xdr:to>
      <xdr:col>32</xdr:col>
      <xdr:colOff>445745</xdr:colOff>
      <xdr:row>39</xdr:row>
      <xdr:rowOff>46032</xdr:rowOff>
    </xdr:to>
    <xdr:pic>
      <xdr:nvPicPr>
        <xdr:cNvPr id="7" name="图片 6">
          <a:extLst>
            <a:ext uri="{FF2B5EF4-FFF2-40B4-BE49-F238E27FC236}">
              <a16:creationId xmlns:a16="http://schemas.microsoft.com/office/drawing/2014/main" id="{BAC3BB2A-D6AE-D400-AF26-983C3099FA26}"/>
            </a:ext>
          </a:extLst>
        </xdr:cNvPr>
        <xdr:cNvPicPr>
          <a:picLocks noChangeAspect="1"/>
        </xdr:cNvPicPr>
      </xdr:nvPicPr>
      <xdr:blipFill>
        <a:blip xmlns:r="http://schemas.openxmlformats.org/officeDocument/2006/relationships" r:embed="rId8"/>
        <a:stretch>
          <a:fillRect/>
        </a:stretch>
      </xdr:blipFill>
      <xdr:spPr>
        <a:xfrm>
          <a:off x="18299206" y="5871882"/>
          <a:ext cx="2238687" cy="628738"/>
        </a:xfrm>
        <a:prstGeom prst="rect">
          <a:avLst/>
        </a:prstGeom>
      </xdr:spPr>
    </xdr:pic>
    <xdr:clientData/>
  </xdr:twoCellAnchor>
  <xdr:twoCellAnchor editAs="oneCell">
    <xdr:from>
      <xdr:col>27</xdr:col>
      <xdr:colOff>997323</xdr:colOff>
      <xdr:row>36</xdr:row>
      <xdr:rowOff>22412</xdr:rowOff>
    </xdr:from>
    <xdr:to>
      <xdr:col>29</xdr:col>
      <xdr:colOff>292011</xdr:colOff>
      <xdr:row>40</xdr:row>
      <xdr:rowOff>11207</xdr:rowOff>
    </xdr:to>
    <xdr:pic>
      <xdr:nvPicPr>
        <xdr:cNvPr id="8" name="图片 7">
          <a:extLst>
            <a:ext uri="{FF2B5EF4-FFF2-40B4-BE49-F238E27FC236}">
              <a16:creationId xmlns:a16="http://schemas.microsoft.com/office/drawing/2014/main" id="{F4CE3E2E-C75F-A5C8-99D1-BDF2A4140D14}"/>
            </a:ext>
          </a:extLst>
        </xdr:cNvPr>
        <xdr:cNvPicPr>
          <a:picLocks noChangeAspect="1"/>
        </xdr:cNvPicPr>
      </xdr:nvPicPr>
      <xdr:blipFill>
        <a:blip xmlns:r="http://schemas.openxmlformats.org/officeDocument/2006/relationships" r:embed="rId9"/>
        <a:stretch>
          <a:fillRect/>
        </a:stretch>
      </xdr:blipFill>
      <xdr:spPr>
        <a:xfrm>
          <a:off x="16450235" y="5939118"/>
          <a:ext cx="1827216" cy="705970"/>
        </a:xfrm>
        <a:prstGeom prst="rect">
          <a:avLst/>
        </a:prstGeom>
      </xdr:spPr>
    </xdr:pic>
    <xdr:clientData/>
  </xdr:twoCellAnchor>
  <xdr:twoCellAnchor editAs="oneCell">
    <xdr:from>
      <xdr:col>26</xdr:col>
      <xdr:colOff>22412</xdr:colOff>
      <xdr:row>54</xdr:row>
      <xdr:rowOff>100854</xdr:rowOff>
    </xdr:from>
    <xdr:to>
      <xdr:col>30</xdr:col>
      <xdr:colOff>295142</xdr:colOff>
      <xdr:row>60</xdr:row>
      <xdr:rowOff>1444</xdr:rowOff>
    </xdr:to>
    <xdr:pic>
      <xdr:nvPicPr>
        <xdr:cNvPr id="10" name="图片 9">
          <a:extLst>
            <a:ext uri="{FF2B5EF4-FFF2-40B4-BE49-F238E27FC236}">
              <a16:creationId xmlns:a16="http://schemas.microsoft.com/office/drawing/2014/main" id="{7291E09B-BF38-97E0-2238-B98EDA84F486}"/>
            </a:ext>
          </a:extLst>
        </xdr:cNvPr>
        <xdr:cNvPicPr>
          <a:picLocks noChangeAspect="1"/>
        </xdr:cNvPicPr>
      </xdr:nvPicPr>
      <xdr:blipFill>
        <a:blip xmlns:r="http://schemas.openxmlformats.org/officeDocument/2006/relationships" r:embed="rId10"/>
        <a:stretch>
          <a:fillRect/>
        </a:stretch>
      </xdr:blipFill>
      <xdr:spPr>
        <a:xfrm>
          <a:off x="14410765" y="9513795"/>
          <a:ext cx="4772691" cy="971686"/>
        </a:xfrm>
        <a:prstGeom prst="rect">
          <a:avLst/>
        </a:prstGeom>
      </xdr:spPr>
    </xdr:pic>
    <xdr:clientData/>
  </xdr:twoCellAnchor>
  <xdr:twoCellAnchor editAs="oneCell">
    <xdr:from>
      <xdr:col>26</xdr:col>
      <xdr:colOff>67236</xdr:colOff>
      <xdr:row>53</xdr:row>
      <xdr:rowOff>22412</xdr:rowOff>
    </xdr:from>
    <xdr:to>
      <xdr:col>28</xdr:col>
      <xdr:colOff>339727</xdr:colOff>
      <xdr:row>54</xdr:row>
      <xdr:rowOff>33645</xdr:rowOff>
    </xdr:to>
    <xdr:pic>
      <xdr:nvPicPr>
        <xdr:cNvPr id="11" name="图片 10">
          <a:extLst>
            <a:ext uri="{FF2B5EF4-FFF2-40B4-BE49-F238E27FC236}">
              <a16:creationId xmlns:a16="http://schemas.microsoft.com/office/drawing/2014/main" id="{C8789139-4AB5-0DA6-FF6D-2A7B76C27945}"/>
            </a:ext>
          </a:extLst>
        </xdr:cNvPr>
        <xdr:cNvPicPr>
          <a:picLocks noChangeAspect="1"/>
        </xdr:cNvPicPr>
      </xdr:nvPicPr>
      <xdr:blipFill>
        <a:blip xmlns:r="http://schemas.openxmlformats.org/officeDocument/2006/relationships" r:embed="rId11"/>
        <a:stretch>
          <a:fillRect/>
        </a:stretch>
      </xdr:blipFill>
      <xdr:spPr>
        <a:xfrm>
          <a:off x="14455589" y="8987118"/>
          <a:ext cx="3057952" cy="190527"/>
        </a:xfrm>
        <a:prstGeom prst="rect">
          <a:avLst/>
        </a:prstGeom>
      </xdr:spPr>
    </xdr:pic>
    <xdr:clientData/>
  </xdr:twoCellAnchor>
  <xdr:twoCellAnchor>
    <xdr:from>
      <xdr:col>30</xdr:col>
      <xdr:colOff>458427</xdr:colOff>
      <xdr:row>41</xdr:row>
      <xdr:rowOff>56030</xdr:rowOff>
    </xdr:from>
    <xdr:to>
      <xdr:col>31</xdr:col>
      <xdr:colOff>67235</xdr:colOff>
      <xdr:row>57</xdr:row>
      <xdr:rowOff>48814</xdr:rowOff>
    </xdr:to>
    <xdr:cxnSp macro="">
      <xdr:nvCxnSpPr>
        <xdr:cNvPr id="13" name="连接符: 肘形 12">
          <a:extLst>
            <a:ext uri="{FF2B5EF4-FFF2-40B4-BE49-F238E27FC236}">
              <a16:creationId xmlns:a16="http://schemas.microsoft.com/office/drawing/2014/main" id="{8A74D2A5-E7B5-457F-8EF1-A543B33CB308}"/>
            </a:ext>
          </a:extLst>
        </xdr:cNvPr>
        <xdr:cNvCxnSpPr>
          <a:stCxn id="10" idx="3"/>
        </xdr:cNvCxnSpPr>
      </xdr:nvCxnSpPr>
      <xdr:spPr>
        <a:xfrm flipV="1">
          <a:off x="19183456" y="6869206"/>
          <a:ext cx="292367" cy="313043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239326</xdr:colOff>
      <xdr:row>47</xdr:row>
      <xdr:rowOff>68837</xdr:rowOff>
    </xdr:from>
    <xdr:to>
      <xdr:col>35</xdr:col>
      <xdr:colOff>450377</xdr:colOff>
      <xdr:row>67</xdr:row>
      <xdr:rowOff>155014</xdr:rowOff>
    </xdr:to>
    <xdr:pic>
      <xdr:nvPicPr>
        <xdr:cNvPr id="17" name="图片 16">
          <a:extLst>
            <a:ext uri="{FF2B5EF4-FFF2-40B4-BE49-F238E27FC236}">
              <a16:creationId xmlns:a16="http://schemas.microsoft.com/office/drawing/2014/main" id="{59E55E51-0622-FBB6-E6B2-900FAA7194D6}"/>
            </a:ext>
          </a:extLst>
        </xdr:cNvPr>
        <xdr:cNvPicPr>
          <a:picLocks noChangeAspect="1"/>
        </xdr:cNvPicPr>
      </xdr:nvPicPr>
      <xdr:blipFill>
        <a:blip xmlns:r="http://schemas.openxmlformats.org/officeDocument/2006/relationships" r:embed="rId12"/>
        <a:stretch>
          <a:fillRect/>
        </a:stretch>
      </xdr:blipFill>
      <xdr:spPr>
        <a:xfrm>
          <a:off x="25861576" y="8546087"/>
          <a:ext cx="1571765" cy="3760106"/>
        </a:xfrm>
        <a:prstGeom prst="rect">
          <a:avLst/>
        </a:prstGeom>
      </xdr:spPr>
    </xdr:pic>
    <xdr:clientData/>
  </xdr:twoCellAnchor>
  <xdr:twoCellAnchor editAs="oneCell">
    <xdr:from>
      <xdr:col>0</xdr:col>
      <xdr:colOff>612322</xdr:colOff>
      <xdr:row>73</xdr:row>
      <xdr:rowOff>27215</xdr:rowOff>
    </xdr:from>
    <xdr:to>
      <xdr:col>7</xdr:col>
      <xdr:colOff>945012</xdr:colOff>
      <xdr:row>98</xdr:row>
      <xdr:rowOff>122460</xdr:rowOff>
    </xdr:to>
    <xdr:pic>
      <xdr:nvPicPr>
        <xdr:cNvPr id="15" name="图片 14">
          <a:extLst>
            <a:ext uri="{FF2B5EF4-FFF2-40B4-BE49-F238E27FC236}">
              <a16:creationId xmlns:a16="http://schemas.microsoft.com/office/drawing/2014/main" id="{2495A4DB-230D-454E-8823-1855871B41FD}"/>
            </a:ext>
          </a:extLst>
        </xdr:cNvPr>
        <xdr:cNvPicPr>
          <a:picLocks noChangeAspect="1"/>
        </xdr:cNvPicPr>
      </xdr:nvPicPr>
      <xdr:blipFill>
        <a:blip xmlns:r="http://schemas.openxmlformats.org/officeDocument/2006/relationships" r:embed="rId13"/>
        <a:stretch>
          <a:fillRect/>
        </a:stretch>
      </xdr:blipFill>
      <xdr:spPr>
        <a:xfrm>
          <a:off x="612322" y="13403036"/>
          <a:ext cx="5353726" cy="48713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bosch-thermotechnology.com/it/it/residenziale/assistenza-e-servizi/documentazione/catalogo-prodot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6"/>
  <sheetViews>
    <sheetView tabSelected="1" zoomScaleNormal="100" workbookViewId="0">
      <selection activeCell="AB43" sqref="AB43"/>
    </sheetView>
  </sheetViews>
  <sheetFormatPr defaultRowHeight="14.25" x14ac:dyDescent="0.2"/>
  <cols>
    <col min="2" max="2" width="12.625" customWidth="1"/>
    <col min="3" max="3" width="8.625" customWidth="1"/>
    <col min="4" max="7" width="9" customWidth="1"/>
    <col min="8" max="8" width="20.25" customWidth="1"/>
    <col min="9" max="9" width="12" customWidth="1"/>
    <col min="10" max="10" width="8.625" customWidth="1"/>
    <col min="11" max="11" width="9.875" customWidth="1"/>
    <col min="12" max="12" width="7.5" customWidth="1"/>
    <col min="13" max="13" width="10.875" style="23" customWidth="1"/>
    <col min="14" max="14" width="8.875" customWidth="1"/>
    <col min="15" max="15" width="10.75" customWidth="1"/>
    <col min="16" max="23" width="9" customWidth="1"/>
    <col min="25" max="25" width="9" customWidth="1"/>
    <col min="27" max="27" width="16.125" customWidth="1"/>
    <col min="28" max="28" width="20.375" style="43" bestFit="1" customWidth="1"/>
    <col min="29" max="29" width="12.75" customWidth="1"/>
    <col min="30" max="30" width="9.75" customWidth="1"/>
    <col min="33" max="33" width="9" style="34"/>
  </cols>
  <sheetData>
    <row r="1" spans="1:31" x14ac:dyDescent="0.2">
      <c r="A1" t="s">
        <v>0</v>
      </c>
      <c r="AA1" t="s">
        <v>137</v>
      </c>
      <c r="AB1" s="43" t="s">
        <v>138</v>
      </c>
      <c r="AC1" t="s">
        <v>145</v>
      </c>
      <c r="AD1" t="s">
        <v>139</v>
      </c>
      <c r="AE1" t="s">
        <v>146</v>
      </c>
    </row>
    <row r="2" spans="1:31" x14ac:dyDescent="0.2">
      <c r="Z2" t="s">
        <v>140</v>
      </c>
      <c r="AA2" s="33">
        <f>0.8*85.87%</f>
        <v>0.68696000000000002</v>
      </c>
      <c r="AB2" s="43">
        <v>190.6</v>
      </c>
      <c r="AC2">
        <f>AB2*AA2+AB4*AA4+AB3*AA3+AB5*AA5+AB6*AA6+AA7*AB7</f>
        <v>171.01854800000001</v>
      </c>
      <c r="AD2">
        <v>4.5999999999999996</v>
      </c>
      <c r="AE2">
        <f>AD2*AA2+AA3*AD3+AD4*AA4+AA5*AD5+AD6*AA6+AA7*AD7</f>
        <v>6.3914543200000002</v>
      </c>
    </row>
    <row r="3" spans="1:31" x14ac:dyDescent="0.2">
      <c r="A3" t="s">
        <v>4</v>
      </c>
      <c r="Z3" t="s">
        <v>141</v>
      </c>
      <c r="AA3" s="33">
        <f>0.8*9.481%</f>
        <v>7.5848000000000013E-2</v>
      </c>
      <c r="AB3" s="43">
        <v>305.3</v>
      </c>
      <c r="AD3">
        <v>4.87</v>
      </c>
    </row>
    <row r="4" spans="1:31" x14ac:dyDescent="0.2">
      <c r="Z4" t="s">
        <v>142</v>
      </c>
      <c r="AA4" s="33">
        <f>0.8*1.342%</f>
        <v>1.0736000000000002E-2</v>
      </c>
      <c r="AB4" s="43">
        <v>369.9</v>
      </c>
      <c r="AD4">
        <v>4.25</v>
      </c>
    </row>
    <row r="5" spans="1:31" x14ac:dyDescent="0.2">
      <c r="A5" t="s">
        <v>1</v>
      </c>
      <c r="Z5" t="s">
        <v>143</v>
      </c>
      <c r="AA5" s="33">
        <f>0.8*1.216%</f>
        <v>9.7280000000000005E-3</v>
      </c>
      <c r="AB5" s="43">
        <v>126.2</v>
      </c>
      <c r="AD5">
        <v>3.39</v>
      </c>
    </row>
    <row r="6" spans="1:31" x14ac:dyDescent="0.2">
      <c r="A6" s="49" t="s">
        <v>2</v>
      </c>
      <c r="B6" s="49"/>
      <c r="C6" s="49"/>
      <c r="D6" s="49"/>
      <c r="Z6" t="s">
        <v>144</v>
      </c>
      <c r="AA6" s="33">
        <f>0.8*2.091%</f>
        <v>1.6728000000000003E-2</v>
      </c>
      <c r="AB6" s="43">
        <v>304.2</v>
      </c>
      <c r="AD6">
        <v>7.38</v>
      </c>
    </row>
    <row r="7" spans="1:31" x14ac:dyDescent="0.2">
      <c r="A7" s="49" t="s">
        <v>3</v>
      </c>
      <c r="B7" s="49"/>
      <c r="C7" s="49"/>
      <c r="D7" s="49"/>
      <c r="Z7" t="s">
        <v>174</v>
      </c>
      <c r="AA7" s="46">
        <v>0.2</v>
      </c>
      <c r="AB7" s="43">
        <v>33.200000000000003</v>
      </c>
      <c r="AD7">
        <v>13.3</v>
      </c>
    </row>
    <row r="10" spans="1:31" x14ac:dyDescent="0.2">
      <c r="A10" t="s">
        <v>5</v>
      </c>
    </row>
    <row r="11" spans="1:31" x14ac:dyDescent="0.2">
      <c r="A11" t="s">
        <v>6</v>
      </c>
      <c r="Q11" t="s">
        <v>8</v>
      </c>
      <c r="T11" t="s">
        <v>9</v>
      </c>
    </row>
    <row r="13" spans="1:31" ht="14.25" customHeight="1" x14ac:dyDescent="0.2">
      <c r="A13" t="s">
        <v>36</v>
      </c>
      <c r="B13" t="s">
        <v>7</v>
      </c>
      <c r="C13" t="s">
        <v>20</v>
      </c>
      <c r="D13" t="s">
        <v>11</v>
      </c>
      <c r="E13" t="s">
        <v>12</v>
      </c>
      <c r="F13" t="s">
        <v>18</v>
      </c>
      <c r="G13" t="s">
        <v>19</v>
      </c>
      <c r="H13" t="s">
        <v>22</v>
      </c>
      <c r="I13" t="s">
        <v>21</v>
      </c>
      <c r="J13" t="s">
        <v>27</v>
      </c>
      <c r="K13" t="s">
        <v>35</v>
      </c>
      <c r="L13" t="s">
        <v>30</v>
      </c>
      <c r="M13" s="23" t="s">
        <v>34</v>
      </c>
      <c r="N13" t="s">
        <v>33</v>
      </c>
      <c r="Q13" s="50" t="s">
        <v>10</v>
      </c>
      <c r="R13" s="51"/>
      <c r="S13" s="51"/>
      <c r="T13" s="51"/>
      <c r="U13" s="52"/>
    </row>
    <row r="14" spans="1:31" x14ac:dyDescent="0.2">
      <c r="A14" s="1" t="s">
        <v>40</v>
      </c>
      <c r="B14" s="1">
        <v>1</v>
      </c>
      <c r="C14" s="2">
        <v>260000</v>
      </c>
      <c r="D14" s="19" t="s">
        <v>14</v>
      </c>
      <c r="E14">
        <f t="shared" ref="E14:E31" si="0">IF(D14=$Q$21,$R$21,$R$22)</f>
        <v>0.9</v>
      </c>
      <c r="F14">
        <v>20</v>
      </c>
      <c r="G14" s="4">
        <v>-8</v>
      </c>
      <c r="H14" s="5">
        <f t="shared" ref="H14:H31" si="1">(F14-G14)*C14*E14/1000</f>
        <v>6552</v>
      </c>
      <c r="I14">
        <v>0.88</v>
      </c>
      <c r="J14" s="13">
        <f t="shared" ref="J14:J31" si="2">H14/I14</f>
        <v>7445.454545454545</v>
      </c>
      <c r="K14" s="13">
        <f t="shared" ref="K14:K31" si="3">J14/$R$17</f>
        <v>863.6015665036474</v>
      </c>
      <c r="L14" s="15">
        <f t="shared" ref="L14:L31" si="4">K14/3600</f>
        <v>0.23988932402879096</v>
      </c>
      <c r="M14" s="23">
        <f t="shared" ref="M14:M31" si="5">K14*$U$17</f>
        <v>559.44109478106282</v>
      </c>
      <c r="N14" s="15">
        <f t="shared" ref="N14:N31" si="6">L14*$U$17</f>
        <v>0.15540030410585079</v>
      </c>
      <c r="Q14" s="53"/>
      <c r="R14" s="54"/>
      <c r="S14" s="54"/>
      <c r="T14" s="54"/>
      <c r="U14" s="55"/>
    </row>
    <row r="15" spans="1:31" x14ac:dyDescent="0.2">
      <c r="A15" s="1" t="s">
        <v>38</v>
      </c>
      <c r="B15" s="1">
        <v>2</v>
      </c>
      <c r="C15" s="2">
        <v>200000</v>
      </c>
      <c r="D15" s="20" t="s">
        <v>14</v>
      </c>
      <c r="E15">
        <f t="shared" si="0"/>
        <v>0.9</v>
      </c>
      <c r="F15">
        <v>20</v>
      </c>
      <c r="G15" s="4">
        <v>-8</v>
      </c>
      <c r="H15" s="5">
        <f t="shared" si="1"/>
        <v>5040</v>
      </c>
      <c r="I15">
        <v>0.9</v>
      </c>
      <c r="J15" s="13">
        <f t="shared" si="2"/>
        <v>5600</v>
      </c>
      <c r="K15" s="13">
        <f t="shared" si="3"/>
        <v>649.54647737026471</v>
      </c>
      <c r="L15" s="15">
        <f t="shared" si="4"/>
        <v>0.18042957704729576</v>
      </c>
      <c r="M15" s="23">
        <f t="shared" si="5"/>
        <v>420.7762080404575</v>
      </c>
      <c r="N15" s="15">
        <f t="shared" si="6"/>
        <v>0.1168822800112382</v>
      </c>
      <c r="Q15" s="53"/>
      <c r="R15" s="54"/>
      <c r="S15" s="54"/>
      <c r="T15" s="54"/>
      <c r="U15" s="55"/>
    </row>
    <row r="16" spans="1:31" x14ac:dyDescent="0.2">
      <c r="A16" s="1" t="s">
        <v>58</v>
      </c>
      <c r="B16" s="1">
        <v>3</v>
      </c>
      <c r="C16" s="2">
        <v>320000</v>
      </c>
      <c r="D16" s="20" t="s">
        <v>14</v>
      </c>
      <c r="E16">
        <f t="shared" si="0"/>
        <v>0.9</v>
      </c>
      <c r="F16">
        <v>20</v>
      </c>
      <c r="G16" s="4">
        <v>-8</v>
      </c>
      <c r="H16" s="5">
        <f t="shared" si="1"/>
        <v>8064</v>
      </c>
      <c r="I16">
        <v>0.85</v>
      </c>
      <c r="J16" s="13">
        <f t="shared" si="2"/>
        <v>9487.0588235294126</v>
      </c>
      <c r="K16" s="13">
        <f t="shared" si="3"/>
        <v>1100.4081498978603</v>
      </c>
      <c r="L16" s="15">
        <f t="shared" si="4"/>
        <v>0.30566893052718341</v>
      </c>
      <c r="M16" s="23">
        <f t="shared" si="5"/>
        <v>712.84439950383398</v>
      </c>
      <c r="N16" s="15">
        <f t="shared" si="6"/>
        <v>0.19801233319550943</v>
      </c>
      <c r="Q16" s="56"/>
      <c r="R16" s="57"/>
      <c r="S16" s="57"/>
      <c r="T16" s="57"/>
      <c r="U16" s="58"/>
    </row>
    <row r="17" spans="1:21" x14ac:dyDescent="0.2">
      <c r="A17" s="1" t="s">
        <v>44</v>
      </c>
      <c r="B17" s="1">
        <v>4</v>
      </c>
      <c r="C17" s="2">
        <v>190000</v>
      </c>
      <c r="D17" s="20" t="s">
        <v>14</v>
      </c>
      <c r="E17">
        <f t="shared" si="0"/>
        <v>0.9</v>
      </c>
      <c r="F17">
        <v>20</v>
      </c>
      <c r="G17" s="4">
        <v>-8</v>
      </c>
      <c r="H17" s="5">
        <f t="shared" si="1"/>
        <v>4788</v>
      </c>
      <c r="I17">
        <v>0.93</v>
      </c>
      <c r="J17" s="13">
        <f t="shared" si="2"/>
        <v>5148.3870967741932</v>
      </c>
      <c r="K17" s="13">
        <f t="shared" si="3"/>
        <v>597.16369693717877</v>
      </c>
      <c r="L17" s="15">
        <f t="shared" si="4"/>
        <v>0.16587880470477187</v>
      </c>
      <c r="M17" s="23">
        <f t="shared" si="5"/>
        <v>386.84264287590446</v>
      </c>
      <c r="N17" s="15">
        <f t="shared" si="6"/>
        <v>0.10745628968775123</v>
      </c>
      <c r="Q17" s="1" t="s">
        <v>26</v>
      </c>
      <c r="R17" s="16">
        <v>8.6213999999999995</v>
      </c>
      <c r="S17" s="1">
        <f>R17*3.6</f>
        <v>31.037039999999998</v>
      </c>
      <c r="T17" s="1" t="s">
        <v>31</v>
      </c>
      <c r="U17" s="1">
        <v>0.64780000000000004</v>
      </c>
    </row>
    <row r="18" spans="1:21" x14ac:dyDescent="0.2">
      <c r="A18" s="1" t="s">
        <v>46</v>
      </c>
      <c r="B18" s="1">
        <v>5</v>
      </c>
      <c r="C18" s="2">
        <v>170000</v>
      </c>
      <c r="D18" s="20" t="s">
        <v>14</v>
      </c>
      <c r="E18">
        <f t="shared" si="0"/>
        <v>0.9</v>
      </c>
      <c r="F18">
        <v>20</v>
      </c>
      <c r="G18" s="4">
        <v>-8</v>
      </c>
      <c r="H18" s="5">
        <f t="shared" si="1"/>
        <v>4284</v>
      </c>
      <c r="I18">
        <v>0.9</v>
      </c>
      <c r="J18" s="13">
        <f t="shared" si="2"/>
        <v>4760</v>
      </c>
      <c r="K18" s="13">
        <f t="shared" si="3"/>
        <v>552.11450576472498</v>
      </c>
      <c r="L18" s="15">
        <f t="shared" si="4"/>
        <v>0.15336514049020139</v>
      </c>
      <c r="M18" s="23">
        <f t="shared" si="5"/>
        <v>357.65977683438888</v>
      </c>
      <c r="N18" s="15">
        <f t="shared" si="6"/>
        <v>9.9349938009552469E-2</v>
      </c>
      <c r="R18" s="1" t="s">
        <v>28</v>
      </c>
      <c r="S18" s="1" t="s">
        <v>29</v>
      </c>
      <c r="T18" s="1"/>
      <c r="U18" s="1" t="s">
        <v>32</v>
      </c>
    </row>
    <row r="19" spans="1:21" x14ac:dyDescent="0.2">
      <c r="A19" s="1" t="s">
        <v>59</v>
      </c>
      <c r="B19" s="1">
        <v>6</v>
      </c>
      <c r="C19" s="2">
        <v>180000</v>
      </c>
      <c r="D19" s="17" t="s">
        <v>13</v>
      </c>
      <c r="E19">
        <f t="shared" si="0"/>
        <v>0.4</v>
      </c>
      <c r="F19">
        <v>20</v>
      </c>
      <c r="G19" s="4">
        <v>-8</v>
      </c>
      <c r="H19" s="5">
        <f t="shared" si="1"/>
        <v>2016</v>
      </c>
      <c r="I19">
        <v>0.94</v>
      </c>
      <c r="J19" s="13">
        <f t="shared" si="2"/>
        <v>2144.6808510638298</v>
      </c>
      <c r="K19" s="13">
        <f t="shared" si="3"/>
        <v>248.76248069499499</v>
      </c>
      <c r="L19" s="15">
        <f t="shared" si="4"/>
        <v>6.9100689081943056E-2</v>
      </c>
      <c r="M19" s="23">
        <f t="shared" si="5"/>
        <v>161.14833499421778</v>
      </c>
      <c r="N19" s="15">
        <f t="shared" si="6"/>
        <v>4.4763426387282715E-2</v>
      </c>
    </row>
    <row r="20" spans="1:21" ht="14.25" customHeight="1" x14ac:dyDescent="0.2">
      <c r="A20" s="1" t="s">
        <v>47</v>
      </c>
      <c r="B20" s="1">
        <v>7</v>
      </c>
      <c r="C20" s="2">
        <v>220000</v>
      </c>
      <c r="D20" s="18" t="s">
        <v>13</v>
      </c>
      <c r="E20">
        <f t="shared" si="0"/>
        <v>0.4</v>
      </c>
      <c r="F20">
        <v>20</v>
      </c>
      <c r="G20" s="4">
        <v>-8</v>
      </c>
      <c r="H20" s="5">
        <f t="shared" si="1"/>
        <v>2464</v>
      </c>
      <c r="I20">
        <v>0.94</v>
      </c>
      <c r="J20" s="13">
        <f t="shared" si="2"/>
        <v>2621.2765957446809</v>
      </c>
      <c r="K20" s="13">
        <f t="shared" si="3"/>
        <v>304.04303196054946</v>
      </c>
      <c r="L20" s="15">
        <f t="shared" si="4"/>
        <v>8.4456397766819291E-2</v>
      </c>
      <c r="M20" s="23">
        <f t="shared" si="5"/>
        <v>196.95907610404396</v>
      </c>
      <c r="N20" s="15">
        <f t="shared" si="6"/>
        <v>5.471085447334554E-2</v>
      </c>
      <c r="Q20" s="59" t="s">
        <v>15</v>
      </c>
      <c r="R20" s="60"/>
      <c r="S20" s="60"/>
      <c r="T20" s="60"/>
      <c r="U20" s="61"/>
    </row>
    <row r="21" spans="1:21" x14ac:dyDescent="0.2">
      <c r="A21" s="1" t="s">
        <v>60</v>
      </c>
      <c r="B21" s="1">
        <v>8</v>
      </c>
      <c r="C21" s="2">
        <v>140000</v>
      </c>
      <c r="D21" s="18" t="s">
        <v>13</v>
      </c>
      <c r="E21">
        <f t="shared" si="0"/>
        <v>0.4</v>
      </c>
      <c r="F21">
        <v>20</v>
      </c>
      <c r="G21" s="4">
        <v>-8</v>
      </c>
      <c r="H21" s="5">
        <f t="shared" si="1"/>
        <v>1568</v>
      </c>
      <c r="I21">
        <v>0.95</v>
      </c>
      <c r="J21" s="13">
        <f t="shared" si="2"/>
        <v>1650.5263157894738</v>
      </c>
      <c r="K21" s="13">
        <f t="shared" si="3"/>
        <v>191.44527754070961</v>
      </c>
      <c r="L21" s="15">
        <f t="shared" si="4"/>
        <v>5.3179243761308226E-2</v>
      </c>
      <c r="M21" s="23">
        <f t="shared" si="5"/>
        <v>124.01825079087169</v>
      </c>
      <c r="N21" s="15">
        <f t="shared" si="6"/>
        <v>3.4449514108575469E-2</v>
      </c>
      <c r="Q21" s="6" t="s">
        <v>13</v>
      </c>
      <c r="R21" s="7">
        <v>0.4</v>
      </c>
      <c r="S21" s="7"/>
      <c r="T21" s="7" t="s">
        <v>16</v>
      </c>
      <c r="U21" s="8"/>
    </row>
    <row r="22" spans="1:21" x14ac:dyDescent="0.2">
      <c r="A22" s="1" t="s">
        <v>39</v>
      </c>
      <c r="B22" s="1">
        <v>9</v>
      </c>
      <c r="C22" s="2">
        <v>100000</v>
      </c>
      <c r="D22" s="18" t="s">
        <v>13</v>
      </c>
      <c r="E22">
        <f t="shared" si="0"/>
        <v>0.4</v>
      </c>
      <c r="F22">
        <v>20</v>
      </c>
      <c r="G22" s="4">
        <v>-8</v>
      </c>
      <c r="H22" s="5">
        <f t="shared" si="1"/>
        <v>1120</v>
      </c>
      <c r="I22">
        <v>0.94</v>
      </c>
      <c r="J22" s="13">
        <f t="shared" si="2"/>
        <v>1191.4893617021278</v>
      </c>
      <c r="K22" s="13">
        <f t="shared" si="3"/>
        <v>138.20137816388612</v>
      </c>
      <c r="L22" s="15">
        <f t="shared" si="4"/>
        <v>3.8389271712190587E-2</v>
      </c>
      <c r="M22" s="23">
        <f t="shared" si="5"/>
        <v>89.526852774565427</v>
      </c>
      <c r="N22" s="15">
        <f t="shared" si="6"/>
        <v>2.4868570215157065E-2</v>
      </c>
      <c r="Q22" s="9" t="s">
        <v>14</v>
      </c>
      <c r="R22" s="10">
        <v>0.9</v>
      </c>
      <c r="S22" s="10"/>
      <c r="T22" s="10"/>
      <c r="U22" s="11"/>
    </row>
    <row r="23" spans="1:21" x14ac:dyDescent="0.2">
      <c r="A23" s="1" t="s">
        <v>61</v>
      </c>
      <c r="B23" s="1">
        <v>10</v>
      </c>
      <c r="C23" s="2">
        <v>330000</v>
      </c>
      <c r="D23" s="19" t="s">
        <v>14</v>
      </c>
      <c r="E23">
        <f t="shared" si="0"/>
        <v>0.9</v>
      </c>
      <c r="F23">
        <v>20</v>
      </c>
      <c r="G23" s="4">
        <v>-8</v>
      </c>
      <c r="H23" s="5">
        <f t="shared" si="1"/>
        <v>8316</v>
      </c>
      <c r="I23">
        <v>0.8</v>
      </c>
      <c r="J23" s="13">
        <f t="shared" si="2"/>
        <v>10395</v>
      </c>
      <c r="K23" s="13">
        <f t="shared" si="3"/>
        <v>1205.7206486185539</v>
      </c>
      <c r="L23" s="15">
        <f t="shared" si="4"/>
        <v>0.33492240239404275</v>
      </c>
      <c r="M23" s="23">
        <f t="shared" si="5"/>
        <v>781.06583617509932</v>
      </c>
      <c r="N23" s="15">
        <f t="shared" si="6"/>
        <v>0.21696273227086091</v>
      </c>
    </row>
    <row r="24" spans="1:21" x14ac:dyDescent="0.2">
      <c r="A24" s="1" t="s">
        <v>42</v>
      </c>
      <c r="B24" s="1">
        <v>11</v>
      </c>
      <c r="C24" s="2">
        <v>300000</v>
      </c>
      <c r="D24" s="20" t="s">
        <v>14</v>
      </c>
      <c r="E24">
        <f t="shared" si="0"/>
        <v>0.9</v>
      </c>
      <c r="F24">
        <v>20</v>
      </c>
      <c r="G24" s="4">
        <v>-8</v>
      </c>
      <c r="H24" s="5">
        <f t="shared" si="1"/>
        <v>7560</v>
      </c>
      <c r="I24">
        <v>0.9</v>
      </c>
      <c r="J24" s="13">
        <f t="shared" si="2"/>
        <v>8400</v>
      </c>
      <c r="K24" s="13">
        <f t="shared" si="3"/>
        <v>974.31971605539707</v>
      </c>
      <c r="L24" s="15">
        <f t="shared" si="4"/>
        <v>0.27064436557094362</v>
      </c>
      <c r="M24" s="23">
        <f t="shared" si="5"/>
        <v>631.16431206068626</v>
      </c>
      <c r="N24" s="15">
        <f t="shared" si="6"/>
        <v>0.1753234200168573</v>
      </c>
    </row>
    <row r="25" spans="1:21" x14ac:dyDescent="0.2">
      <c r="A25" s="1" t="s">
        <v>45</v>
      </c>
      <c r="B25" s="1">
        <v>12</v>
      </c>
      <c r="C25" s="2">
        <v>280000</v>
      </c>
      <c r="D25" s="20" t="s">
        <v>14</v>
      </c>
      <c r="E25">
        <f t="shared" si="0"/>
        <v>0.9</v>
      </c>
      <c r="F25">
        <v>20</v>
      </c>
      <c r="G25" s="4">
        <v>-8</v>
      </c>
      <c r="H25" s="5">
        <f t="shared" si="1"/>
        <v>7056</v>
      </c>
      <c r="I25">
        <v>0.85</v>
      </c>
      <c r="J25" s="13">
        <f t="shared" si="2"/>
        <v>8301.176470588236</v>
      </c>
      <c r="K25" s="13">
        <f t="shared" si="3"/>
        <v>962.85713116062777</v>
      </c>
      <c r="L25" s="15">
        <f t="shared" si="4"/>
        <v>0.26746031421128547</v>
      </c>
      <c r="M25" s="23">
        <f t="shared" si="5"/>
        <v>623.73884956585471</v>
      </c>
      <c r="N25" s="15">
        <f t="shared" si="6"/>
        <v>0.17326079154607074</v>
      </c>
    </row>
    <row r="26" spans="1:21" x14ac:dyDescent="0.2">
      <c r="A26" s="1" t="s">
        <v>62</v>
      </c>
      <c r="B26" s="1">
        <v>13</v>
      </c>
      <c r="C26" s="2">
        <v>230000</v>
      </c>
      <c r="D26" s="20" t="s">
        <v>14</v>
      </c>
      <c r="E26">
        <f t="shared" si="0"/>
        <v>0.9</v>
      </c>
      <c r="F26">
        <v>20</v>
      </c>
      <c r="G26" s="4">
        <v>-8</v>
      </c>
      <c r="H26" s="5">
        <f t="shared" si="1"/>
        <v>5796</v>
      </c>
      <c r="I26">
        <v>0.88</v>
      </c>
      <c r="J26" s="13">
        <f t="shared" si="2"/>
        <v>6586.363636363636</v>
      </c>
      <c r="K26" s="13">
        <f t="shared" si="3"/>
        <v>763.95523190707263</v>
      </c>
      <c r="L26" s="15">
        <f t="shared" si="4"/>
        <v>0.21220978664085352</v>
      </c>
      <c r="M26" s="23">
        <f t="shared" si="5"/>
        <v>494.89019922940167</v>
      </c>
      <c r="N26" s="15">
        <f t="shared" si="6"/>
        <v>0.13746949978594492</v>
      </c>
    </row>
    <row r="27" spans="1:21" x14ac:dyDescent="0.2">
      <c r="A27" s="1" t="s">
        <v>43</v>
      </c>
      <c r="B27" s="1">
        <v>14</v>
      </c>
      <c r="C27" s="2">
        <v>120000</v>
      </c>
      <c r="D27" s="17" t="s">
        <v>13</v>
      </c>
      <c r="E27">
        <f t="shared" si="0"/>
        <v>0.4</v>
      </c>
      <c r="F27">
        <v>20</v>
      </c>
      <c r="G27" s="4">
        <v>-8</v>
      </c>
      <c r="H27" s="5">
        <f t="shared" si="1"/>
        <v>1344</v>
      </c>
      <c r="I27">
        <v>0.93</v>
      </c>
      <c r="J27" s="13">
        <f t="shared" si="2"/>
        <v>1445.1612903225805</v>
      </c>
      <c r="K27" s="13">
        <f t="shared" si="3"/>
        <v>167.62489738587476</v>
      </c>
      <c r="L27" s="15">
        <f t="shared" si="4"/>
        <v>4.656247149607632E-2</v>
      </c>
      <c r="M27" s="23">
        <f t="shared" si="5"/>
        <v>108.58740852656967</v>
      </c>
      <c r="N27" s="15">
        <f t="shared" si="6"/>
        <v>3.0163169035158241E-2</v>
      </c>
    </row>
    <row r="28" spans="1:21" x14ac:dyDescent="0.2">
      <c r="A28" s="1" t="s">
        <v>63</v>
      </c>
      <c r="B28" s="1">
        <v>15</v>
      </c>
      <c r="C28" s="2">
        <v>360000</v>
      </c>
      <c r="D28" s="18" t="s">
        <v>13</v>
      </c>
      <c r="E28">
        <f t="shared" si="0"/>
        <v>0.4</v>
      </c>
      <c r="F28">
        <v>20</v>
      </c>
      <c r="G28" s="4">
        <v>-8</v>
      </c>
      <c r="H28" s="5">
        <f t="shared" si="1"/>
        <v>4032</v>
      </c>
      <c r="I28">
        <v>0.88</v>
      </c>
      <c r="J28" s="13">
        <f t="shared" si="2"/>
        <v>4581.818181818182</v>
      </c>
      <c r="K28" s="13">
        <f t="shared" si="3"/>
        <v>531.44711784839842</v>
      </c>
      <c r="L28" s="15">
        <f t="shared" si="4"/>
        <v>0.1476241994023329</v>
      </c>
      <c r="M28" s="23">
        <f t="shared" si="5"/>
        <v>344.27144294219249</v>
      </c>
      <c r="N28" s="15">
        <f t="shared" si="6"/>
        <v>9.5630956372831255E-2</v>
      </c>
    </row>
    <row r="29" spans="1:21" x14ac:dyDescent="0.2">
      <c r="A29" s="1" t="s">
        <v>41</v>
      </c>
      <c r="B29" s="1">
        <v>16</v>
      </c>
      <c r="C29" s="2">
        <v>310000</v>
      </c>
      <c r="D29" s="19" t="s">
        <v>14</v>
      </c>
      <c r="E29">
        <f t="shared" si="0"/>
        <v>0.9</v>
      </c>
      <c r="F29">
        <v>20</v>
      </c>
      <c r="G29" s="4">
        <v>-8</v>
      </c>
      <c r="H29" s="5">
        <f t="shared" si="1"/>
        <v>7812</v>
      </c>
      <c r="I29">
        <v>0.8</v>
      </c>
      <c r="J29" s="13">
        <f t="shared" si="2"/>
        <v>9765</v>
      </c>
      <c r="K29" s="13">
        <f t="shared" si="3"/>
        <v>1132.6466699143991</v>
      </c>
      <c r="L29" s="15">
        <f t="shared" si="4"/>
        <v>0.31462407497622197</v>
      </c>
      <c r="M29" s="23">
        <f t="shared" si="5"/>
        <v>733.72851277054781</v>
      </c>
      <c r="N29" s="15">
        <f t="shared" si="6"/>
        <v>0.2038134757695966</v>
      </c>
    </row>
    <row r="30" spans="1:21" x14ac:dyDescent="0.2">
      <c r="A30" s="1" t="s">
        <v>64</v>
      </c>
      <c r="B30" s="1">
        <v>17</v>
      </c>
      <c r="C30" s="2">
        <v>340000</v>
      </c>
      <c r="D30" s="17" t="s">
        <v>13</v>
      </c>
      <c r="E30">
        <f t="shared" si="0"/>
        <v>0.4</v>
      </c>
      <c r="F30">
        <v>20</v>
      </c>
      <c r="G30" s="4">
        <v>-8</v>
      </c>
      <c r="H30" s="5">
        <f t="shared" si="1"/>
        <v>3808</v>
      </c>
      <c r="I30">
        <v>0.94</v>
      </c>
      <c r="J30" s="13">
        <f t="shared" si="2"/>
        <v>4051.0638297872342</v>
      </c>
      <c r="K30" s="13">
        <f t="shared" si="3"/>
        <v>469.88468575721282</v>
      </c>
      <c r="L30" s="15">
        <f t="shared" si="4"/>
        <v>0.130523523821448</v>
      </c>
      <c r="M30" s="23">
        <f t="shared" si="5"/>
        <v>304.39129943352248</v>
      </c>
      <c r="N30" s="15">
        <f t="shared" si="6"/>
        <v>8.4553138731534014E-2</v>
      </c>
    </row>
    <row r="31" spans="1:21" x14ac:dyDescent="0.2">
      <c r="A31" s="1" t="s">
        <v>65</v>
      </c>
      <c r="B31" s="1">
        <v>18</v>
      </c>
      <c r="C31" s="2">
        <v>210000</v>
      </c>
      <c r="D31" s="18" t="s">
        <v>13</v>
      </c>
      <c r="E31">
        <f t="shared" si="0"/>
        <v>0.4</v>
      </c>
      <c r="F31">
        <v>20</v>
      </c>
      <c r="G31" s="4">
        <v>-8</v>
      </c>
      <c r="H31" s="5">
        <f t="shared" si="1"/>
        <v>2352</v>
      </c>
      <c r="I31">
        <v>0.95</v>
      </c>
      <c r="J31" s="13">
        <f t="shared" si="2"/>
        <v>2475.7894736842109</v>
      </c>
      <c r="K31" s="13">
        <f t="shared" si="3"/>
        <v>287.16791631106446</v>
      </c>
      <c r="L31" s="15">
        <f t="shared" si="4"/>
        <v>7.9768865641962353E-2</v>
      </c>
      <c r="M31" s="23">
        <f t="shared" si="5"/>
        <v>186.02737618630758</v>
      </c>
      <c r="N31" s="15">
        <f t="shared" si="6"/>
        <v>5.1674271162863217E-2</v>
      </c>
    </row>
    <row r="32" spans="1:21" x14ac:dyDescent="0.2">
      <c r="A32" s="12" t="s">
        <v>23</v>
      </c>
      <c r="H32" s="13" cm="1">
        <f t="array" ref="H32">SUM(H14:H31/1000)</f>
        <v>83.97199999999998</v>
      </c>
      <c r="J32" s="13" cm="1">
        <f t="array" ref="J32">SUM(J14:J31/1000)</f>
        <v>96.050246472622348</v>
      </c>
      <c r="K32" s="13">
        <f>SUM(K14:K31)</f>
        <v>11140.910579792417</v>
      </c>
      <c r="L32" s="15">
        <f>SUM(L14:L31)</f>
        <v>3.0946973832756712</v>
      </c>
      <c r="M32" s="23">
        <f>SUM(M14:M31)</f>
        <v>7217.0818735895282</v>
      </c>
      <c r="N32" s="15">
        <f>SUM(N14:N31)</f>
        <v>2.0047449648859801</v>
      </c>
    </row>
    <row r="33" spans="1:33" x14ac:dyDescent="0.2">
      <c r="G33" t="s">
        <v>17</v>
      </c>
      <c r="H33" t="s">
        <v>88</v>
      </c>
      <c r="I33" t="s">
        <v>24</v>
      </c>
    </row>
    <row r="34" spans="1:33" x14ac:dyDescent="0.2">
      <c r="I34" s="14" t="s">
        <v>25</v>
      </c>
    </row>
    <row r="36" spans="1:33" x14ac:dyDescent="0.2">
      <c r="A36" t="s">
        <v>37</v>
      </c>
      <c r="B36" t="s">
        <v>48</v>
      </c>
      <c r="C36" t="s">
        <v>57</v>
      </c>
    </row>
    <row r="37" spans="1:33" x14ac:dyDescent="0.2">
      <c r="A37">
        <v>1</v>
      </c>
      <c r="B37" t="s">
        <v>49</v>
      </c>
      <c r="C37">
        <v>1700</v>
      </c>
    </row>
    <row r="38" spans="1:33" x14ac:dyDescent="0.2">
      <c r="A38">
        <v>2</v>
      </c>
      <c r="B38" t="s">
        <v>50</v>
      </c>
      <c r="C38">
        <v>1650</v>
      </c>
    </row>
    <row r="39" spans="1:33" x14ac:dyDescent="0.2">
      <c r="A39">
        <v>3</v>
      </c>
      <c r="B39" t="s">
        <v>66</v>
      </c>
      <c r="C39">
        <v>1350</v>
      </c>
      <c r="I39" s="62" t="s">
        <v>90</v>
      </c>
      <c r="J39" s="62"/>
      <c r="K39" s="62"/>
      <c r="N39" t="s">
        <v>106</v>
      </c>
      <c r="O39" s="25">
        <f>(N42-O49)/L50</f>
        <v>2.0652371985664824E-4</v>
      </c>
    </row>
    <row r="40" spans="1:33" x14ac:dyDescent="0.2">
      <c r="A40">
        <v>4</v>
      </c>
      <c r="B40" t="s">
        <v>67</v>
      </c>
      <c r="C40">
        <v>1500</v>
      </c>
    </row>
    <row r="41" spans="1:33" x14ac:dyDescent="0.2">
      <c r="A41">
        <v>5</v>
      </c>
      <c r="B41" t="s">
        <v>68</v>
      </c>
      <c r="C41">
        <v>1900</v>
      </c>
      <c r="H41" t="s">
        <v>148</v>
      </c>
      <c r="I41" s="12" t="s">
        <v>89</v>
      </c>
      <c r="J41" t="s">
        <v>99</v>
      </c>
      <c r="K41" t="s">
        <v>100</v>
      </c>
      <c r="L41" t="s">
        <v>101</v>
      </c>
      <c r="M41" s="23" t="s">
        <v>103</v>
      </c>
      <c r="N41" s="22" t="s">
        <v>104</v>
      </c>
      <c r="O41" s="22" t="s">
        <v>105</v>
      </c>
      <c r="P41" t="s">
        <v>107</v>
      </c>
      <c r="Q41" t="s">
        <v>108</v>
      </c>
      <c r="R41" t="s">
        <v>110</v>
      </c>
      <c r="S41" s="30" t="s">
        <v>111</v>
      </c>
      <c r="T41" s="30" t="s">
        <v>115</v>
      </c>
      <c r="U41" s="27" t="s">
        <v>116</v>
      </c>
      <c r="V41" t="s">
        <v>117</v>
      </c>
      <c r="W41" t="s">
        <v>118</v>
      </c>
      <c r="X41" t="s">
        <v>121</v>
      </c>
      <c r="Y41" t="s">
        <v>122</v>
      </c>
      <c r="Z41" t="s">
        <v>123</v>
      </c>
      <c r="AA41" t="s">
        <v>124</v>
      </c>
      <c r="AB41" s="43" t="s">
        <v>130</v>
      </c>
      <c r="AC41" t="s">
        <v>132</v>
      </c>
      <c r="AD41" t="s">
        <v>131</v>
      </c>
      <c r="AE41" t="s">
        <v>135</v>
      </c>
      <c r="AG41" s="34" t="s">
        <v>136</v>
      </c>
    </row>
    <row r="42" spans="1:33" ht="16.5" x14ac:dyDescent="0.3">
      <c r="A42">
        <v>6</v>
      </c>
      <c r="B42" t="s">
        <v>51</v>
      </c>
      <c r="C42">
        <v>960</v>
      </c>
      <c r="H42">
        <v>1</v>
      </c>
      <c r="I42" s="29" t="s">
        <v>91</v>
      </c>
      <c r="J42">
        <f>C37</f>
        <v>1700</v>
      </c>
      <c r="K42">
        <v>13</v>
      </c>
      <c r="L42">
        <f>J42+K42</f>
        <v>1713</v>
      </c>
      <c r="M42" s="23">
        <f>L32</f>
        <v>3.0946973832756712</v>
      </c>
      <c r="N42" s="24">
        <v>5</v>
      </c>
      <c r="O42" s="24">
        <f>N42-O39*L42</f>
        <v>4.6462248678855618</v>
      </c>
      <c r="P42" s="24">
        <f>N42+$J$53</f>
        <v>6.0132500000000002</v>
      </c>
      <c r="Q42" s="24">
        <f>O42+$J$53</f>
        <v>5.659474867885562</v>
      </c>
      <c r="R42" s="47">
        <f>P42-Q42</f>
        <v>0.35377513211443823</v>
      </c>
      <c r="S42" s="26">
        <f>P42*$J$55</f>
        <v>6.13183129</v>
      </c>
      <c r="T42" s="26">
        <f>Q42*$J$55</f>
        <v>5.7710797122802653</v>
      </c>
      <c r="U42" s="28">
        <f>(S42^2-T42^2)/M42^1.82/L42</f>
        <v>3.2075908131392797E-4</v>
      </c>
      <c r="W42">
        <f t="shared" ref="W42:W49" si="7">(5.2*10^(-7)*$U$17/$J$56/U42)^(1/4.82)</f>
        <v>0.23105733443618046</v>
      </c>
      <c r="X42" s="35">
        <f>W42*1000</f>
        <v>231.05733443618047</v>
      </c>
      <c r="Y42">
        <f>3.14*(W42/2)^2</f>
        <v>4.1909181060451065E-2</v>
      </c>
      <c r="Z42" s="37">
        <f>(P42+Q42)/2</f>
        <v>5.8363624339427815</v>
      </c>
      <c r="AA42" s="15">
        <f>Z42/$J$62/$J$60/$J$59*$J$61*100</f>
        <v>3.7307269463282653</v>
      </c>
      <c r="AB42" s="44">
        <f>N32</f>
        <v>2.0047449648859801</v>
      </c>
      <c r="AC42" s="31">
        <f>AB42/AA42</f>
        <v>0.5373604109137563</v>
      </c>
      <c r="AD42" s="24">
        <f>AC42/Y42</f>
        <v>12.822021268768088</v>
      </c>
      <c r="AE42" s="32" t="s">
        <v>134</v>
      </c>
      <c r="AG42" s="34">
        <v>300</v>
      </c>
    </row>
    <row r="43" spans="1:33" ht="16.5" x14ac:dyDescent="0.3">
      <c r="A43">
        <v>7</v>
      </c>
      <c r="B43" t="s">
        <v>52</v>
      </c>
      <c r="C43">
        <v>1200</v>
      </c>
      <c r="H43">
        <v>2</v>
      </c>
      <c r="I43" s="29" t="s">
        <v>92</v>
      </c>
      <c r="J43">
        <f>C38</f>
        <v>1650</v>
      </c>
      <c r="K43">
        <v>4.5</v>
      </c>
      <c r="L43">
        <f t="shared" ref="L43:L49" si="8">J43+K43</f>
        <v>1654.5</v>
      </c>
      <c r="M43" s="23">
        <f>M44</f>
        <v>1.2903573791205045</v>
      </c>
      <c r="N43" s="24">
        <f>O42</f>
        <v>4.6462248678855618</v>
      </c>
      <c r="O43" s="24">
        <f>N43-L43*$O$39</f>
        <v>4.3045313733827371</v>
      </c>
      <c r="P43" s="24">
        <f>N43+$J$53</f>
        <v>5.659474867885562</v>
      </c>
      <c r="Q43" s="24">
        <f t="shared" ref="Q43:Q49" si="9">O43+$J$53</f>
        <v>5.3177813733827373</v>
      </c>
      <c r="R43" s="47">
        <f t="shared" ref="R43:R49" si="10">P43-Q43</f>
        <v>0.34169349450282471</v>
      </c>
      <c r="S43" s="26">
        <f t="shared" ref="S43:S49" si="11">P43*$J$55</f>
        <v>5.7710797122802653</v>
      </c>
      <c r="T43" s="26">
        <f t="shared" ref="T43:T49" si="12">Q43*$J$55</f>
        <v>5.4226480220658448</v>
      </c>
      <c r="U43" s="28">
        <f t="shared" ref="U43:U49" si="13">(S43^2-T43^2)/M43^1.82/L43</f>
        <v>1.4822907475481131E-3</v>
      </c>
      <c r="W43">
        <f t="shared" si="7"/>
        <v>0.16819144453840093</v>
      </c>
      <c r="X43" s="35">
        <f t="shared" ref="X43:X49" si="14">W43*1000</f>
        <v>168.19144453840093</v>
      </c>
      <c r="Y43">
        <f t="shared" ref="Y43:Y49" si="15">3.14*(W43/2)^2</f>
        <v>2.2206364182492489E-2</v>
      </c>
      <c r="Z43" s="37">
        <f t="shared" ref="Z43:Z49" si="16">(P43+Q43)/2</f>
        <v>5.4886281206341501</v>
      </c>
      <c r="AA43" s="15">
        <f t="shared" ref="AA43:AA49" si="17">Z43/$J$62/$J$60/$J$59*$J$61*100</f>
        <v>3.5084477805796315</v>
      </c>
      <c r="AB43" s="44">
        <f>AB44</f>
        <v>0.83589351019426306</v>
      </c>
      <c r="AC43" s="31">
        <f t="shared" ref="AC43:AC49" si="18">AB43/AA43</f>
        <v>0.23825166069770173</v>
      </c>
      <c r="AD43" s="24">
        <f t="shared" ref="AD43:AD49" si="19">AC43/Y43</f>
        <v>10.728981058751593</v>
      </c>
      <c r="AE43" s="32" t="s">
        <v>134</v>
      </c>
      <c r="AG43" s="34">
        <v>200</v>
      </c>
    </row>
    <row r="44" spans="1:33" ht="16.5" x14ac:dyDescent="0.3">
      <c r="A44">
        <v>8</v>
      </c>
      <c r="B44" t="s">
        <v>69</v>
      </c>
      <c r="C44">
        <v>2300</v>
      </c>
      <c r="H44">
        <v>3</v>
      </c>
      <c r="I44" s="29" t="s">
        <v>93</v>
      </c>
      <c r="J44">
        <f>C39</f>
        <v>1350</v>
      </c>
      <c r="K44">
        <v>13</v>
      </c>
      <c r="L44">
        <f t="shared" si="8"/>
        <v>1363</v>
      </c>
      <c r="M44" s="23">
        <f>M45+L14+L15+L16</f>
        <v>1.2903573791205045</v>
      </c>
      <c r="N44" s="24">
        <f t="shared" ref="N44:N49" si="20">O43</f>
        <v>4.3045313733827371</v>
      </c>
      <c r="O44" s="24">
        <f t="shared" ref="O44:O48" si="21">N44-L44*$O$39</f>
        <v>4.0230395432181254</v>
      </c>
      <c r="P44" s="24">
        <f t="shared" ref="P44:P49" si="22">N44+$J$53</f>
        <v>5.3177813733827373</v>
      </c>
      <c r="Q44" s="24">
        <f t="shared" si="9"/>
        <v>5.0362895432181256</v>
      </c>
      <c r="R44" s="47">
        <f t="shared" si="10"/>
        <v>0.28149183016461166</v>
      </c>
      <c r="S44" s="26">
        <f t="shared" si="11"/>
        <v>5.4226480220658448</v>
      </c>
      <c r="T44" s="26">
        <f t="shared" si="12"/>
        <v>5.1356051730103864</v>
      </c>
      <c r="U44" s="28">
        <f t="shared" si="13"/>
        <v>1.3981402257365197E-3</v>
      </c>
      <c r="W44">
        <f t="shared" si="7"/>
        <v>0.17024329410843345</v>
      </c>
      <c r="X44" s="35">
        <f t="shared" si="14"/>
        <v>170.24329410843345</v>
      </c>
      <c r="Y44">
        <f t="shared" si="15"/>
        <v>2.2751481663279099E-2</v>
      </c>
      <c r="Z44" s="37">
        <f t="shared" si="16"/>
        <v>5.1770354583004314</v>
      </c>
      <c r="AA44" s="15">
        <f t="shared" si="17"/>
        <v>3.3092711264900978</v>
      </c>
      <c r="AB44" s="44">
        <f>AB45+N14+N15+N16</f>
        <v>0.83589351019426306</v>
      </c>
      <c r="AC44" s="31">
        <f t="shared" si="18"/>
        <v>0.25259142519423433</v>
      </c>
      <c r="AD44" s="24">
        <f t="shared" si="19"/>
        <v>11.102196724265085</v>
      </c>
      <c r="AE44" s="32" t="s">
        <v>134</v>
      </c>
      <c r="AG44" s="34">
        <v>200</v>
      </c>
    </row>
    <row r="45" spans="1:33" ht="16.5" x14ac:dyDescent="0.3">
      <c r="A45">
        <v>9</v>
      </c>
      <c r="B45" t="s">
        <v>53</v>
      </c>
      <c r="C45">
        <v>1000</v>
      </c>
      <c r="H45">
        <v>8</v>
      </c>
      <c r="I45" s="29" t="s">
        <v>94</v>
      </c>
      <c r="J45">
        <f>C44</f>
        <v>2300</v>
      </c>
      <c r="K45">
        <v>6.5</v>
      </c>
      <c r="L45">
        <f t="shared" si="8"/>
        <v>2306.5</v>
      </c>
      <c r="M45" s="23">
        <f>L17+M46</f>
        <v>0.56436954751723445</v>
      </c>
      <c r="N45" s="24">
        <f t="shared" si="20"/>
        <v>4.0230395432181254</v>
      </c>
      <c r="O45" s="24">
        <f>N45-L45*$O$39</f>
        <v>3.5466925833687664</v>
      </c>
      <c r="P45" s="24">
        <f t="shared" si="22"/>
        <v>5.0362895432181256</v>
      </c>
      <c r="Q45" s="24">
        <f t="shared" si="9"/>
        <v>4.5599425833687661</v>
      </c>
      <c r="R45" s="47">
        <f t="shared" si="10"/>
        <v>0.47634695984935949</v>
      </c>
      <c r="S45" s="26">
        <f t="shared" si="11"/>
        <v>5.1356051730103864</v>
      </c>
      <c r="T45" s="26">
        <f t="shared" si="12"/>
        <v>4.6498646511127983</v>
      </c>
      <c r="U45" s="28">
        <f t="shared" si="13"/>
        <v>5.83696188455805E-3</v>
      </c>
      <c r="W45">
        <f t="shared" si="7"/>
        <v>0.12656316657241909</v>
      </c>
      <c r="X45" s="35">
        <f t="shared" si="14"/>
        <v>126.56316657241909</v>
      </c>
      <c r="Y45">
        <f t="shared" si="15"/>
        <v>1.2574314579277752E-2</v>
      </c>
      <c r="Z45" s="37">
        <f t="shared" si="16"/>
        <v>4.7981160632934454</v>
      </c>
      <c r="AA45" s="15">
        <f t="shared" si="17"/>
        <v>3.0670577935384684</v>
      </c>
      <c r="AB45" s="44">
        <f>AB46+N17</f>
        <v>0.36559859288166452</v>
      </c>
      <c r="AC45" s="31">
        <f t="shared" si="18"/>
        <v>0.11920172930940208</v>
      </c>
      <c r="AD45" s="24">
        <f t="shared" si="19"/>
        <v>9.4797794788627616</v>
      </c>
      <c r="AE45" s="32" t="s">
        <v>134</v>
      </c>
      <c r="AG45" s="34">
        <v>150</v>
      </c>
    </row>
    <row r="46" spans="1:33" ht="16.5" x14ac:dyDescent="0.3">
      <c r="A46">
        <v>10</v>
      </c>
      <c r="B46" t="s">
        <v>54</v>
      </c>
      <c r="C46">
        <v>2500</v>
      </c>
      <c r="H46">
        <v>10</v>
      </c>
      <c r="I46" s="29" t="s">
        <v>95</v>
      </c>
      <c r="J46">
        <f>C46</f>
        <v>2500</v>
      </c>
      <c r="K46">
        <v>6.5</v>
      </c>
      <c r="L46">
        <f t="shared" si="8"/>
        <v>2506.5</v>
      </c>
      <c r="M46" s="23">
        <f>M47+L18</f>
        <v>0.39849074281246255</v>
      </c>
      <c r="N46" s="24">
        <f t="shared" si="20"/>
        <v>3.5466925833687664</v>
      </c>
      <c r="O46" s="24">
        <f t="shared" si="21"/>
        <v>3.0290408795480777</v>
      </c>
      <c r="P46" s="24">
        <f t="shared" si="22"/>
        <v>4.5599425833687661</v>
      </c>
      <c r="Q46" s="24">
        <f t="shared" si="9"/>
        <v>4.0422908795480774</v>
      </c>
      <c r="R46" s="47">
        <f t="shared" si="10"/>
        <v>0.5176517038206887</v>
      </c>
      <c r="S46" s="26">
        <f t="shared" si="11"/>
        <v>4.6498646511127983</v>
      </c>
      <c r="T46" s="26">
        <f t="shared" si="12"/>
        <v>4.1220048556927651</v>
      </c>
      <c r="U46" s="28">
        <f t="shared" si="13"/>
        <v>9.8578418693712772E-3</v>
      </c>
      <c r="W46">
        <f t="shared" si="7"/>
        <v>0.11352420117517106</v>
      </c>
      <c r="X46" s="35">
        <f t="shared" si="14"/>
        <v>113.52420117517106</v>
      </c>
      <c r="Y46">
        <f t="shared" si="15"/>
        <v>1.0116879238181659E-2</v>
      </c>
      <c r="Z46" s="37">
        <f t="shared" si="16"/>
        <v>4.3011167314584213</v>
      </c>
      <c r="AA46" s="15">
        <f t="shared" si="17"/>
        <v>2.7493652546377478</v>
      </c>
      <c r="AB46" s="44">
        <f>AB47+N18</f>
        <v>0.25814230319391329</v>
      </c>
      <c r="AC46" s="31">
        <f t="shared" si="18"/>
        <v>9.389160016424436E-2</v>
      </c>
      <c r="AD46" s="24">
        <f t="shared" si="19"/>
        <v>9.2806880416138888</v>
      </c>
      <c r="AE46" s="32" t="s">
        <v>134</v>
      </c>
      <c r="AG46" s="34">
        <v>125</v>
      </c>
    </row>
    <row r="47" spans="1:33" ht="16.5" x14ac:dyDescent="0.3">
      <c r="A47">
        <v>11</v>
      </c>
      <c r="B47" t="s">
        <v>55</v>
      </c>
      <c r="C47">
        <v>1100</v>
      </c>
      <c r="H47">
        <v>12</v>
      </c>
      <c r="I47" s="29" t="s">
        <v>96</v>
      </c>
      <c r="J47">
        <f>C48</f>
        <v>2400</v>
      </c>
      <c r="K47">
        <v>13</v>
      </c>
      <c r="L47">
        <f t="shared" si="8"/>
        <v>2413</v>
      </c>
      <c r="M47" s="23">
        <f>M48+L19+L20</f>
        <v>0.24512560232226116</v>
      </c>
      <c r="N47" s="24">
        <f t="shared" si="20"/>
        <v>3.0290408795480777</v>
      </c>
      <c r="O47" s="24">
        <f t="shared" si="21"/>
        <v>2.5306991435339854</v>
      </c>
      <c r="P47" s="24">
        <f t="shared" si="22"/>
        <v>4.0422908795480774</v>
      </c>
      <c r="Q47" s="24">
        <f t="shared" si="9"/>
        <v>3.5439491435339852</v>
      </c>
      <c r="R47" s="47">
        <f t="shared" si="10"/>
        <v>0.49834173601409226</v>
      </c>
      <c r="S47" s="26">
        <f t="shared" si="11"/>
        <v>4.1220048556927651</v>
      </c>
      <c r="T47" s="26">
        <f t="shared" si="12"/>
        <v>3.6138358206444754</v>
      </c>
      <c r="U47" s="28">
        <f t="shared" si="13"/>
        <v>2.1050916395890008E-2</v>
      </c>
      <c r="W47">
        <f t="shared" si="7"/>
        <v>9.699061383760435E-2</v>
      </c>
      <c r="X47" s="35">
        <f t="shared" si="14"/>
        <v>96.990613837604357</v>
      </c>
      <c r="Y47">
        <f t="shared" si="15"/>
        <v>7.3846356504873017E-3</v>
      </c>
      <c r="Z47" s="37">
        <f t="shared" si="16"/>
        <v>3.7931200115410313</v>
      </c>
      <c r="AA47" s="15">
        <f t="shared" si="17"/>
        <v>2.4246429514750454</v>
      </c>
      <c r="AB47" s="44">
        <f>AB48+N19+N20</f>
        <v>0.1587923651843608</v>
      </c>
      <c r="AC47" s="31">
        <f t="shared" si="18"/>
        <v>6.5491030375321266E-2</v>
      </c>
      <c r="AD47" s="24">
        <f t="shared" si="19"/>
        <v>8.8685526916957116</v>
      </c>
      <c r="AE47" s="32" t="s">
        <v>134</v>
      </c>
      <c r="AG47" s="34">
        <v>100</v>
      </c>
    </row>
    <row r="48" spans="1:33" ht="16.5" x14ac:dyDescent="0.3">
      <c r="A48">
        <v>12</v>
      </c>
      <c r="B48" t="s">
        <v>56</v>
      </c>
      <c r="C48">
        <v>2400</v>
      </c>
      <c r="H48">
        <v>15</v>
      </c>
      <c r="I48" s="29" t="s">
        <v>97</v>
      </c>
      <c r="J48">
        <f>C51</f>
        <v>2500</v>
      </c>
      <c r="K48">
        <v>6.5</v>
      </c>
      <c r="L48">
        <f t="shared" si="8"/>
        <v>2506.5</v>
      </c>
      <c r="M48" s="23">
        <f>M49+L22</f>
        <v>9.1568515473498813E-2</v>
      </c>
      <c r="N48" s="24">
        <f t="shared" si="20"/>
        <v>2.5306991435339854</v>
      </c>
      <c r="O48" s="24">
        <f t="shared" si="21"/>
        <v>2.0130474397132967</v>
      </c>
      <c r="P48" s="24">
        <f t="shared" si="22"/>
        <v>3.5439491435339852</v>
      </c>
      <c r="Q48" s="24">
        <f t="shared" si="9"/>
        <v>3.0262974397132965</v>
      </c>
      <c r="R48" s="47">
        <f t="shared" si="10"/>
        <v>0.5176517038206887</v>
      </c>
      <c r="S48" s="26">
        <f t="shared" si="11"/>
        <v>3.6138358206444754</v>
      </c>
      <c r="T48" s="26">
        <f t="shared" si="12"/>
        <v>3.0859760252244426</v>
      </c>
      <c r="U48" s="28">
        <f t="shared" si="13"/>
        <v>0.10942976006107054</v>
      </c>
      <c r="W48">
        <f t="shared" si="7"/>
        <v>6.8898555133631204E-2</v>
      </c>
      <c r="X48" s="35">
        <f t="shared" si="14"/>
        <v>68.898555133631206</v>
      </c>
      <c r="Y48">
        <f t="shared" si="15"/>
        <v>3.7264035561090847E-3</v>
      </c>
      <c r="Z48" s="37">
        <f t="shared" si="16"/>
        <v>3.2851232916236408</v>
      </c>
      <c r="AA48" s="15">
        <f t="shared" si="17"/>
        <v>2.099920648312342</v>
      </c>
      <c r="AB48" s="44">
        <f>AB49+N22</f>
        <v>5.9318084323732534E-2</v>
      </c>
      <c r="AC48" s="31">
        <f t="shared" si="18"/>
        <v>2.8247774205851596E-2</v>
      </c>
      <c r="AD48" s="24">
        <f t="shared" si="19"/>
        <v>7.5804388280872192</v>
      </c>
      <c r="AE48" s="32" t="s">
        <v>134</v>
      </c>
      <c r="AG48" s="34">
        <v>80</v>
      </c>
    </row>
    <row r="49" spans="1:33" ht="16.5" x14ac:dyDescent="0.3">
      <c r="A49">
        <v>13</v>
      </c>
      <c r="B49" t="s">
        <v>70</v>
      </c>
      <c r="C49">
        <v>1300</v>
      </c>
      <c r="H49">
        <v>16</v>
      </c>
      <c r="I49" s="29" t="s">
        <v>98</v>
      </c>
      <c r="J49">
        <f>C52</f>
        <v>2000</v>
      </c>
      <c r="K49">
        <v>0</v>
      </c>
      <c r="L49">
        <f t="shared" si="8"/>
        <v>2000</v>
      </c>
      <c r="M49" s="23">
        <f>L21</f>
        <v>5.3179243761308226E-2</v>
      </c>
      <c r="N49" s="24">
        <f t="shared" si="20"/>
        <v>2.0130474397132967</v>
      </c>
      <c r="O49" s="24">
        <v>1.6</v>
      </c>
      <c r="P49" s="24">
        <f t="shared" si="22"/>
        <v>3.0262974397132965</v>
      </c>
      <c r="Q49" s="24">
        <f t="shared" si="9"/>
        <v>2.6132499999999999</v>
      </c>
      <c r="R49" s="47">
        <f t="shared" si="10"/>
        <v>0.4130474397132966</v>
      </c>
      <c r="S49" s="26">
        <f t="shared" si="11"/>
        <v>3.0859760252244426</v>
      </c>
      <c r="T49" s="26">
        <f t="shared" si="12"/>
        <v>2.6647832899999999</v>
      </c>
      <c r="U49" s="28">
        <f t="shared" si="13"/>
        <v>0.25253718885842802</v>
      </c>
      <c r="W49">
        <f t="shared" si="7"/>
        <v>5.7924129240577181E-2</v>
      </c>
      <c r="X49" s="35">
        <f t="shared" si="14"/>
        <v>57.92412924057718</v>
      </c>
      <c r="Y49">
        <f t="shared" si="15"/>
        <v>2.6338357273990847E-3</v>
      </c>
      <c r="Z49" s="37">
        <f t="shared" si="16"/>
        <v>2.8197737198566482</v>
      </c>
      <c r="AA49" s="15">
        <f t="shared" si="17"/>
        <v>1.8024593089073777</v>
      </c>
      <c r="AB49" s="44">
        <f>N21</f>
        <v>3.4449514108575469E-2</v>
      </c>
      <c r="AC49" s="31">
        <f t="shared" si="18"/>
        <v>1.9112505862591826E-2</v>
      </c>
      <c r="AD49" s="24">
        <f t="shared" si="19"/>
        <v>7.2565291995129266</v>
      </c>
      <c r="AE49" s="32" t="s">
        <v>134</v>
      </c>
      <c r="AG49" s="34">
        <v>65</v>
      </c>
    </row>
    <row r="50" spans="1:33" x14ac:dyDescent="0.2">
      <c r="A50">
        <v>14</v>
      </c>
      <c r="B50" t="s">
        <v>71</v>
      </c>
      <c r="C50">
        <v>1900</v>
      </c>
      <c r="I50" s="21" t="s">
        <v>102</v>
      </c>
      <c r="J50">
        <f>SUM(J42:J49)</f>
        <v>16400</v>
      </c>
      <c r="L50">
        <f>SUM(L42:L49)</f>
        <v>16463</v>
      </c>
      <c r="N50" s="24"/>
      <c r="O50" s="24"/>
      <c r="R50" s="12"/>
      <c r="U50" s="3"/>
      <c r="X50" s="36"/>
    </row>
    <row r="51" spans="1:33" x14ac:dyDescent="0.2">
      <c r="A51">
        <v>15</v>
      </c>
      <c r="B51" t="s">
        <v>72</v>
      </c>
      <c r="C51">
        <v>2500</v>
      </c>
      <c r="I51" s="21"/>
      <c r="R51" s="12"/>
      <c r="U51" s="3"/>
      <c r="X51" s="36"/>
    </row>
    <row r="52" spans="1:33" x14ac:dyDescent="0.2">
      <c r="A52">
        <v>16</v>
      </c>
      <c r="B52" t="s">
        <v>73</v>
      </c>
      <c r="C52">
        <v>2000</v>
      </c>
      <c r="I52" s="21"/>
      <c r="R52" s="12"/>
      <c r="T52" s="26"/>
      <c r="U52" s="3"/>
      <c r="X52" s="36"/>
      <c r="AA52" t="s">
        <v>133</v>
      </c>
    </row>
    <row r="53" spans="1:33" x14ac:dyDescent="0.2">
      <c r="A53">
        <v>17</v>
      </c>
      <c r="B53" t="s">
        <v>74</v>
      </c>
      <c r="C53">
        <v>1500</v>
      </c>
      <c r="I53" s="21" t="s">
        <v>109</v>
      </c>
      <c r="J53">
        <v>1.01325</v>
      </c>
      <c r="R53" s="12"/>
      <c r="T53" s="26"/>
      <c r="U53" s="3"/>
      <c r="X53" s="36"/>
      <c r="AA53" s="12" t="s">
        <v>175</v>
      </c>
    </row>
    <row r="54" spans="1:33" x14ac:dyDescent="0.2">
      <c r="A54">
        <v>18</v>
      </c>
      <c r="B54" t="s">
        <v>75</v>
      </c>
      <c r="C54">
        <v>3300</v>
      </c>
      <c r="I54" s="21" t="s">
        <v>113</v>
      </c>
      <c r="J54" t="s">
        <v>114</v>
      </c>
      <c r="R54" s="12"/>
      <c r="T54" s="26"/>
      <c r="U54" s="3"/>
      <c r="X54" s="36"/>
    </row>
    <row r="55" spans="1:33" x14ac:dyDescent="0.2">
      <c r="A55">
        <v>19</v>
      </c>
      <c r="B55" t="s">
        <v>76</v>
      </c>
      <c r="C55">
        <v>700</v>
      </c>
      <c r="I55" s="21" t="s">
        <v>112</v>
      </c>
      <c r="J55">
        <v>1.01972</v>
      </c>
      <c r="R55" s="12"/>
      <c r="T55" s="26"/>
      <c r="U55" s="3"/>
      <c r="X55" s="36"/>
    </row>
    <row r="56" spans="1:33" x14ac:dyDescent="0.2">
      <c r="A56">
        <v>20</v>
      </c>
      <c r="B56" t="s">
        <v>77</v>
      </c>
      <c r="C56">
        <v>1400</v>
      </c>
      <c r="I56" s="21" t="s">
        <v>119</v>
      </c>
      <c r="J56">
        <v>1.2250000000000001</v>
      </c>
      <c r="K56" t="s">
        <v>120</v>
      </c>
      <c r="R56" s="12"/>
      <c r="T56" s="26"/>
      <c r="U56" s="3"/>
      <c r="X56" s="36"/>
    </row>
    <row r="57" spans="1:33" x14ac:dyDescent="0.2">
      <c r="A57">
        <v>21</v>
      </c>
      <c r="B57" t="s">
        <v>78</v>
      </c>
      <c r="C57">
        <v>2300</v>
      </c>
      <c r="I57" s="21"/>
      <c r="R57" s="12"/>
      <c r="T57" s="26"/>
      <c r="U57" s="3"/>
      <c r="X57" s="36"/>
    </row>
    <row r="58" spans="1:33" x14ac:dyDescent="0.2">
      <c r="A58">
        <v>22</v>
      </c>
      <c r="B58" t="s">
        <v>79</v>
      </c>
      <c r="C58">
        <v>900</v>
      </c>
      <c r="I58" s="21" t="s">
        <v>125</v>
      </c>
      <c r="J58">
        <v>15</v>
      </c>
      <c r="R58" s="12"/>
      <c r="T58" s="26"/>
      <c r="U58" s="3"/>
      <c r="X58" s="36"/>
    </row>
    <row r="59" spans="1:33" x14ac:dyDescent="0.2">
      <c r="A59">
        <v>23</v>
      </c>
      <c r="B59" t="s">
        <v>80</v>
      </c>
      <c r="C59">
        <v>1100</v>
      </c>
      <c r="I59" s="21" t="s">
        <v>126</v>
      </c>
      <c r="J59">
        <f>273.15+J58</f>
        <v>288.14999999999998</v>
      </c>
      <c r="R59" s="12"/>
      <c r="T59" s="26"/>
      <c r="U59" s="3"/>
      <c r="X59" s="36"/>
    </row>
    <row r="60" spans="1:33" x14ac:dyDescent="0.2">
      <c r="A60">
        <v>24</v>
      </c>
      <c r="B60" t="s">
        <v>81</v>
      </c>
      <c r="C60">
        <v>1450</v>
      </c>
      <c r="I60" s="21" t="s">
        <v>127</v>
      </c>
      <c r="J60">
        <v>8.3140000000000001</v>
      </c>
      <c r="R60" s="12"/>
      <c r="T60" s="26"/>
      <c r="U60" s="3"/>
      <c r="X60" s="36"/>
    </row>
    <row r="61" spans="1:33" x14ac:dyDescent="0.2">
      <c r="A61">
        <v>25</v>
      </c>
      <c r="B61" t="s">
        <v>82</v>
      </c>
      <c r="C61">
        <v>2200</v>
      </c>
      <c r="I61" s="21" t="s">
        <v>128</v>
      </c>
      <c r="J61">
        <f>15.28</f>
        <v>15.28</v>
      </c>
      <c r="R61" s="12"/>
      <c r="T61" s="26"/>
      <c r="U61" s="3"/>
      <c r="X61" s="36"/>
    </row>
    <row r="62" spans="1:33" x14ac:dyDescent="0.2">
      <c r="A62">
        <v>26</v>
      </c>
      <c r="B62" t="s">
        <v>83</v>
      </c>
      <c r="C62">
        <v>1300</v>
      </c>
      <c r="I62" s="21" t="s">
        <v>129</v>
      </c>
      <c r="J62">
        <v>0.99780000000000002</v>
      </c>
      <c r="R62" s="12"/>
      <c r="T62" s="26"/>
      <c r="U62" s="3"/>
      <c r="X62" s="36"/>
    </row>
    <row r="63" spans="1:33" x14ac:dyDescent="0.2">
      <c r="A63">
        <v>27</v>
      </c>
      <c r="B63" t="s">
        <v>84</v>
      </c>
      <c r="C63">
        <v>800</v>
      </c>
      <c r="I63" s="21"/>
      <c r="R63" s="12"/>
      <c r="U63" s="3"/>
      <c r="X63" s="36"/>
    </row>
    <row r="64" spans="1:33" x14ac:dyDescent="0.2">
      <c r="A64">
        <v>28</v>
      </c>
      <c r="B64" t="s">
        <v>147</v>
      </c>
      <c r="C64">
        <v>1500</v>
      </c>
      <c r="I64" s="21"/>
      <c r="R64" s="12"/>
      <c r="X64" s="36"/>
      <c r="AG64" s="34" t="s">
        <v>136</v>
      </c>
    </row>
    <row r="65" spans="1:33" ht="16.5" x14ac:dyDescent="0.3">
      <c r="A65">
        <v>29</v>
      </c>
      <c r="B65" t="s">
        <v>85</v>
      </c>
      <c r="C65">
        <v>1800</v>
      </c>
      <c r="H65">
        <v>17</v>
      </c>
      <c r="I65" s="21" t="s">
        <v>149</v>
      </c>
      <c r="J65">
        <v>1500</v>
      </c>
      <c r="K65">
        <v>0</v>
      </c>
      <c r="L65">
        <f t="shared" ref="L65:L73" si="23">J65+K65</f>
        <v>1500</v>
      </c>
      <c r="M65" s="23">
        <f>L22</f>
        <v>3.8389271712190587E-2</v>
      </c>
      <c r="N65" s="24">
        <f>N49</f>
        <v>2.0130474397132967</v>
      </c>
      <c r="O65">
        <v>1.6</v>
      </c>
      <c r="P65" s="24">
        <f>N65+$J$53</f>
        <v>3.0262974397132965</v>
      </c>
      <c r="Q65" s="24">
        <f>O65+$J$53</f>
        <v>2.6132499999999999</v>
      </c>
      <c r="R65" s="47">
        <f>P65-Q65</f>
        <v>0.4130474397132966</v>
      </c>
      <c r="S65" s="26">
        <f>P65*$J$55</f>
        <v>3.0859760252244426</v>
      </c>
      <c r="T65" s="26">
        <f>Q65*$J$55</f>
        <v>2.6647832899999999</v>
      </c>
      <c r="U65" s="28">
        <f>(S65^2-T65^2)/M65^1.82/L65</f>
        <v>0.60933038493054137</v>
      </c>
      <c r="W65">
        <f>(5.2*10^(-7)*$U$17/$J$56/U65)^(1/4.82)</f>
        <v>4.8249960634632751E-2</v>
      </c>
      <c r="X65" s="35">
        <f>W65*1000</f>
        <v>48.24996063463275</v>
      </c>
      <c r="Y65">
        <f>3.14*(W65/2)^2</f>
        <v>1.8275260804762341E-3</v>
      </c>
      <c r="Z65" s="37">
        <f>(P65+Q65)/2</f>
        <v>2.8197737198566482</v>
      </c>
      <c r="AA65" s="15">
        <f>Z65/$J$62/$J$60/$J$59*$J$61*100</f>
        <v>1.8024593089073777</v>
      </c>
      <c r="AB65" s="45">
        <f>M65*$U$17</f>
        <v>2.4868570215157065E-2</v>
      </c>
      <c r="AC65" s="31">
        <f>AB65/AA65</f>
        <v>1.3797021709317809E-2</v>
      </c>
      <c r="AD65" s="24">
        <f>AC65/Y65</f>
        <v>7.5495621412540661</v>
      </c>
      <c r="AE65" s="32" t="s">
        <v>134</v>
      </c>
      <c r="AG65" s="34">
        <v>65</v>
      </c>
    </row>
    <row r="66" spans="1:33" ht="16.5" x14ac:dyDescent="0.3">
      <c r="A66">
        <v>30</v>
      </c>
      <c r="B66" t="s">
        <v>86</v>
      </c>
      <c r="C66">
        <v>1000</v>
      </c>
      <c r="H66">
        <v>13</v>
      </c>
      <c r="I66" s="21" t="s">
        <v>150</v>
      </c>
      <c r="J66">
        <v>1300</v>
      </c>
      <c r="K66">
        <v>0</v>
      </c>
      <c r="L66">
        <f t="shared" si="23"/>
        <v>1300</v>
      </c>
      <c r="M66" s="23">
        <f>L19</f>
        <v>6.9100689081943056E-2</v>
      </c>
      <c r="N66" s="24">
        <f>O47</f>
        <v>2.5306991435339854</v>
      </c>
      <c r="O66">
        <v>1.6</v>
      </c>
      <c r="P66" s="24">
        <f t="shared" ref="P66:P73" si="24">N66+$J$53</f>
        <v>3.5439491435339852</v>
      </c>
      <c r="Q66" s="24">
        <f t="shared" ref="Q66:Q73" si="25">O66+$J$53</f>
        <v>2.6132499999999999</v>
      </c>
      <c r="R66" s="47">
        <f t="shared" ref="R66:R73" si="26">P66-Q66</f>
        <v>0.93069914353398531</v>
      </c>
      <c r="S66" s="26">
        <f t="shared" ref="S66:S73" si="27">P66*$J$55</f>
        <v>3.6138358206444754</v>
      </c>
      <c r="T66" s="26">
        <f t="shared" ref="T66:T73" si="28">Q66*$J$55</f>
        <v>2.6647832899999999</v>
      </c>
      <c r="U66" s="28">
        <f t="shared" ref="U66:U73" si="29">(S66^2-T66^2)/M66^1.82/L66</f>
        <v>0.5934076058133726</v>
      </c>
      <c r="W66">
        <f t="shared" ref="W66:W73" si="30">(5.2*10^(-7)*$U$17/$J$56/U66)^(1/4.82)</f>
        <v>4.8515755508056098E-2</v>
      </c>
      <c r="X66" s="35">
        <f t="shared" ref="X66:X73" si="31">W66*1000</f>
        <v>48.515755508056095</v>
      </c>
      <c r="Y66">
        <f t="shared" ref="Y66:Y73" si="32">3.14*(W66/2)^2</f>
        <v>1.8477161480262186E-3</v>
      </c>
      <c r="Z66" s="37">
        <f t="shared" ref="Z66:Z73" si="33">(P66+Q66)/2</f>
        <v>3.0785995717669925</v>
      </c>
      <c r="AA66" s="15">
        <f t="shared" ref="AA66:AA73" si="34">Z66/$J$62/$J$60/$J$59*$J$61*100</f>
        <v>1.9679062959746232</v>
      </c>
      <c r="AB66" s="45">
        <f t="shared" ref="AB66:AB73" si="35">M66*$U$17</f>
        <v>4.4763426387282715E-2</v>
      </c>
      <c r="AC66" s="31">
        <f t="shared" ref="AC66:AC73" si="36">AB66/AA66</f>
        <v>2.2746726548335591E-2</v>
      </c>
      <c r="AD66" s="24">
        <f t="shared" ref="AD66:AD73" si="37">AC66/Y66</f>
        <v>12.310725634256253</v>
      </c>
      <c r="AE66" s="32" t="s">
        <v>134</v>
      </c>
      <c r="AG66" s="34">
        <v>65</v>
      </c>
    </row>
    <row r="67" spans="1:33" ht="16.5" x14ac:dyDescent="0.3">
      <c r="H67">
        <v>14</v>
      </c>
      <c r="I67" s="21" t="s">
        <v>151</v>
      </c>
      <c r="J67">
        <v>1900</v>
      </c>
      <c r="K67">
        <v>0</v>
      </c>
      <c r="L67">
        <f t="shared" si="23"/>
        <v>1900</v>
      </c>
      <c r="M67" s="23">
        <f>L20</f>
        <v>8.4456397766819291E-2</v>
      </c>
      <c r="N67" s="24">
        <f>O47</f>
        <v>2.5306991435339854</v>
      </c>
      <c r="O67">
        <v>1.6</v>
      </c>
      <c r="P67" s="24">
        <f t="shared" si="24"/>
        <v>3.5439491435339852</v>
      </c>
      <c r="Q67" s="24">
        <f t="shared" si="25"/>
        <v>2.6132499999999999</v>
      </c>
      <c r="R67" s="47">
        <f t="shared" si="26"/>
        <v>0.93069914353398531</v>
      </c>
      <c r="S67" s="26">
        <f t="shared" si="27"/>
        <v>3.6138358206444754</v>
      </c>
      <c r="T67" s="26">
        <f t="shared" si="28"/>
        <v>2.6647832899999999</v>
      </c>
      <c r="U67" s="28">
        <f t="shared" si="29"/>
        <v>0.28179257134561098</v>
      </c>
      <c r="W67">
        <f t="shared" si="30"/>
        <v>5.6621728655108373E-2</v>
      </c>
      <c r="X67" s="35">
        <f t="shared" si="31"/>
        <v>56.62172865510837</v>
      </c>
      <c r="Y67">
        <f t="shared" si="32"/>
        <v>2.5167258223757856E-3</v>
      </c>
      <c r="Z67" s="37">
        <f t="shared" si="33"/>
        <v>3.0785995717669925</v>
      </c>
      <c r="AA67" s="15">
        <f t="shared" si="34"/>
        <v>1.9679062959746232</v>
      </c>
      <c r="AB67" s="45">
        <f t="shared" si="35"/>
        <v>5.471085447334554E-2</v>
      </c>
      <c r="AC67" s="31">
        <f t="shared" si="36"/>
        <v>2.7801554670187942E-2</v>
      </c>
      <c r="AD67" s="24">
        <f t="shared" si="37"/>
        <v>11.046715706180228</v>
      </c>
      <c r="AE67" s="32" t="s">
        <v>134</v>
      </c>
      <c r="AG67" s="34">
        <v>65</v>
      </c>
    </row>
    <row r="68" spans="1:33" ht="16.5" x14ac:dyDescent="0.3">
      <c r="H68">
        <v>11</v>
      </c>
      <c r="I68" s="21" t="s">
        <v>152</v>
      </c>
      <c r="J68">
        <v>1100</v>
      </c>
      <c r="K68">
        <v>0</v>
      </c>
      <c r="L68">
        <f t="shared" si="23"/>
        <v>1100</v>
      </c>
      <c r="M68" s="23">
        <f>L18</f>
        <v>0.15336514049020139</v>
      </c>
      <c r="N68" s="24">
        <f>O46</f>
        <v>3.0290408795480777</v>
      </c>
      <c r="O68">
        <f>1.6</f>
        <v>1.6</v>
      </c>
      <c r="P68" s="24">
        <f t="shared" si="24"/>
        <v>4.0422908795480774</v>
      </c>
      <c r="Q68" s="24">
        <f t="shared" si="25"/>
        <v>2.6132499999999999</v>
      </c>
      <c r="R68" s="47">
        <f t="shared" si="26"/>
        <v>1.4290408795480776</v>
      </c>
      <c r="S68" s="26">
        <f t="shared" si="27"/>
        <v>4.1220048556927651</v>
      </c>
      <c r="T68" s="26">
        <f t="shared" si="28"/>
        <v>2.6647832899999999</v>
      </c>
      <c r="U68" s="28">
        <f t="shared" si="29"/>
        <v>0.27275623179168423</v>
      </c>
      <c r="W68">
        <f t="shared" si="30"/>
        <v>5.7005901326846339E-2</v>
      </c>
      <c r="X68" s="35">
        <f t="shared" si="31"/>
        <v>57.005901326846342</v>
      </c>
      <c r="Y68">
        <f t="shared" si="32"/>
        <v>2.5509931370776211E-3</v>
      </c>
      <c r="Z68" s="37">
        <f t="shared" si="33"/>
        <v>3.3277704397740386</v>
      </c>
      <c r="AA68" s="15">
        <f t="shared" si="34"/>
        <v>2.1271816120700811</v>
      </c>
      <c r="AB68" s="45">
        <f t="shared" si="35"/>
        <v>9.9349938009552469E-2</v>
      </c>
      <c r="AC68" s="31">
        <f t="shared" si="36"/>
        <v>4.6704962776013006E-2</v>
      </c>
      <c r="AD68" s="24">
        <f t="shared" si="37"/>
        <v>18.308541131364038</v>
      </c>
      <c r="AE68" s="32" t="s">
        <v>134</v>
      </c>
      <c r="AG68" s="34">
        <v>65</v>
      </c>
    </row>
    <row r="69" spans="1:33" ht="16.5" x14ac:dyDescent="0.3">
      <c r="H69">
        <v>9</v>
      </c>
      <c r="I69" s="21" t="s">
        <v>153</v>
      </c>
      <c r="J69">
        <v>1000</v>
      </c>
      <c r="K69">
        <v>0</v>
      </c>
      <c r="L69">
        <f t="shared" si="23"/>
        <v>1000</v>
      </c>
      <c r="M69" s="23">
        <f>L17</f>
        <v>0.16587880470477187</v>
      </c>
      <c r="N69" s="24">
        <f>O45</f>
        <v>3.5466925833687664</v>
      </c>
      <c r="O69">
        <v>1.6</v>
      </c>
      <c r="P69" s="24">
        <f t="shared" si="24"/>
        <v>4.5599425833687661</v>
      </c>
      <c r="Q69" s="24">
        <f t="shared" si="25"/>
        <v>2.6132499999999999</v>
      </c>
      <c r="R69" s="47">
        <f t="shared" si="26"/>
        <v>1.9466925833687663</v>
      </c>
      <c r="S69" s="26">
        <f t="shared" si="27"/>
        <v>4.6498646511127983</v>
      </c>
      <c r="T69" s="26">
        <f t="shared" si="28"/>
        <v>2.6647832899999999</v>
      </c>
      <c r="U69" s="28">
        <f t="shared" si="29"/>
        <v>0.38190232880567898</v>
      </c>
      <c r="W69">
        <f t="shared" si="30"/>
        <v>5.316092250794599E-2</v>
      </c>
      <c r="X69" s="35">
        <f t="shared" si="31"/>
        <v>53.16092250794599</v>
      </c>
      <c r="Y69">
        <f t="shared" si="32"/>
        <v>2.2184756902882334E-3</v>
      </c>
      <c r="Z69" s="37">
        <f t="shared" si="33"/>
        <v>3.586596291684383</v>
      </c>
      <c r="AA69" s="15">
        <f t="shared" si="34"/>
        <v>2.2926285991373265</v>
      </c>
      <c r="AB69" s="45">
        <f t="shared" si="35"/>
        <v>0.10745628968775123</v>
      </c>
      <c r="AC69" s="31">
        <f t="shared" si="36"/>
        <v>4.6870343381472702E-2</v>
      </c>
      <c r="AD69" s="24">
        <f t="shared" si="37"/>
        <v>21.127273824390258</v>
      </c>
      <c r="AE69" s="32" t="s">
        <v>134</v>
      </c>
      <c r="AG69" s="34">
        <v>65</v>
      </c>
    </row>
    <row r="70" spans="1:33" ht="16.5" x14ac:dyDescent="0.3">
      <c r="H70">
        <v>4</v>
      </c>
      <c r="I70" s="21" t="s">
        <v>154</v>
      </c>
      <c r="J70">
        <v>1500</v>
      </c>
      <c r="K70">
        <v>0</v>
      </c>
      <c r="L70">
        <f t="shared" si="23"/>
        <v>1500</v>
      </c>
      <c r="M70" s="23">
        <f>L14</f>
        <v>0.23988932402879096</v>
      </c>
      <c r="N70" s="24">
        <f>O44</f>
        <v>4.0230395432181254</v>
      </c>
      <c r="O70">
        <v>1.6</v>
      </c>
      <c r="P70" s="24">
        <f t="shared" si="24"/>
        <v>5.0362895432181256</v>
      </c>
      <c r="Q70" s="24">
        <f t="shared" si="25"/>
        <v>2.6132499999999999</v>
      </c>
      <c r="R70" s="47">
        <f t="shared" si="26"/>
        <v>2.4230395432181258</v>
      </c>
      <c r="S70" s="26">
        <f t="shared" si="27"/>
        <v>5.1356051730103864</v>
      </c>
      <c r="T70" s="26">
        <f t="shared" si="28"/>
        <v>2.6647832899999999</v>
      </c>
      <c r="U70" s="28">
        <f t="shared" si="29"/>
        <v>0.17268178753845473</v>
      </c>
      <c r="W70">
        <f t="shared" si="30"/>
        <v>6.2677004011799028E-2</v>
      </c>
      <c r="X70" s="35">
        <f t="shared" si="31"/>
        <v>62.677004011799028</v>
      </c>
      <c r="Y70">
        <f t="shared" si="32"/>
        <v>3.0837993630376316E-3</v>
      </c>
      <c r="Z70" s="37">
        <f t="shared" si="33"/>
        <v>3.8247697716090627</v>
      </c>
      <c r="AA70" s="15">
        <f t="shared" si="34"/>
        <v>2.4448741509708007</v>
      </c>
      <c r="AB70" s="45">
        <f t="shared" si="35"/>
        <v>0.15540030410585079</v>
      </c>
      <c r="AC70" s="31">
        <f t="shared" si="36"/>
        <v>6.3561678233681293E-2</v>
      </c>
      <c r="AD70" s="24">
        <f t="shared" si="37"/>
        <v>20.611483028218544</v>
      </c>
      <c r="AE70" s="32" t="s">
        <v>134</v>
      </c>
      <c r="AG70" s="34">
        <v>80</v>
      </c>
    </row>
    <row r="71" spans="1:33" ht="16.5" x14ac:dyDescent="0.3">
      <c r="H71">
        <v>5</v>
      </c>
      <c r="I71" s="21" t="s">
        <v>155</v>
      </c>
      <c r="J71">
        <v>1900</v>
      </c>
      <c r="K71">
        <v>6.5</v>
      </c>
      <c r="L71">
        <f t="shared" si="23"/>
        <v>1906.5</v>
      </c>
      <c r="M71" s="23">
        <f>M72+M73</f>
        <v>0.48609850757447914</v>
      </c>
      <c r="N71" s="24">
        <f>O44</f>
        <v>4.0230395432181254</v>
      </c>
      <c r="O71" s="24">
        <f>N72</f>
        <v>2.535988234946644</v>
      </c>
      <c r="P71" s="24">
        <f t="shared" si="24"/>
        <v>5.0362895432181256</v>
      </c>
      <c r="Q71" s="24">
        <f t="shared" si="25"/>
        <v>3.5492382349466443</v>
      </c>
      <c r="R71" s="47">
        <f t="shared" si="26"/>
        <v>1.4870513082714814</v>
      </c>
      <c r="S71" s="26">
        <f t="shared" si="27"/>
        <v>5.1356051730103864</v>
      </c>
      <c r="T71" s="26">
        <f t="shared" si="28"/>
        <v>3.6192292129397918</v>
      </c>
      <c r="U71" s="28">
        <f t="shared" si="29"/>
        <v>2.588092608825987E-2</v>
      </c>
      <c r="W71">
        <f t="shared" si="30"/>
        <v>9.2921865995890321E-2</v>
      </c>
      <c r="X71" s="35">
        <f t="shared" si="31"/>
        <v>92.921865995890315</v>
      </c>
      <c r="Y71">
        <f t="shared" si="32"/>
        <v>6.7780614464241851E-3</v>
      </c>
      <c r="Z71" s="37">
        <f t="shared" si="33"/>
        <v>4.2927638890823854</v>
      </c>
      <c r="AA71" s="15">
        <f t="shared" si="34"/>
        <v>2.7440259402131546</v>
      </c>
      <c r="AB71" s="45">
        <f t="shared" si="35"/>
        <v>0.31489461320674761</v>
      </c>
      <c r="AC71" s="31">
        <f t="shared" si="36"/>
        <v>0.11475642725968062</v>
      </c>
      <c r="AD71" s="24">
        <f t="shared" si="37"/>
        <v>16.930567562237311</v>
      </c>
      <c r="AE71" s="32" t="s">
        <v>134</v>
      </c>
      <c r="AG71" s="34">
        <v>125</v>
      </c>
    </row>
    <row r="72" spans="1:33" ht="16.5" x14ac:dyDescent="0.3">
      <c r="H72">
        <v>7</v>
      </c>
      <c r="I72" s="21" t="s">
        <v>156</v>
      </c>
      <c r="J72">
        <v>1200</v>
      </c>
      <c r="K72">
        <v>0</v>
      </c>
      <c r="L72">
        <f t="shared" si="23"/>
        <v>1200</v>
      </c>
      <c r="M72" s="23">
        <f>L16</f>
        <v>0.30566893052718341</v>
      </c>
      <c r="N72" s="24">
        <f>O72+O75*L72</f>
        <v>2.535988234946644</v>
      </c>
      <c r="O72">
        <v>1.6</v>
      </c>
      <c r="P72" s="24">
        <f t="shared" si="24"/>
        <v>3.5492382349466443</v>
      </c>
      <c r="Q72" s="24">
        <f t="shared" si="25"/>
        <v>2.6132499999999999</v>
      </c>
      <c r="R72" s="47">
        <f t="shared" si="26"/>
        <v>0.9359882349466444</v>
      </c>
      <c r="S72" s="26">
        <f t="shared" si="27"/>
        <v>3.6192292129397918</v>
      </c>
      <c r="T72" s="26">
        <f t="shared" si="28"/>
        <v>2.6647832899999999</v>
      </c>
      <c r="U72" s="28">
        <f t="shared" si="29"/>
        <v>4.3216516784693473E-2</v>
      </c>
      <c r="W72">
        <f t="shared" si="30"/>
        <v>8.354507204055206E-2</v>
      </c>
      <c r="X72" s="35">
        <f t="shared" si="31"/>
        <v>83.545072040552057</v>
      </c>
      <c r="Y72">
        <f t="shared" si="32"/>
        <v>5.4791265638749111E-3</v>
      </c>
      <c r="Z72" s="37">
        <f t="shared" si="33"/>
        <v>3.0812441174733221</v>
      </c>
      <c r="AA72" s="15">
        <f t="shared" si="34"/>
        <v>1.9695967458120121</v>
      </c>
      <c r="AB72" s="45">
        <f t="shared" si="35"/>
        <v>0.19801233319550943</v>
      </c>
      <c r="AC72" s="31">
        <f t="shared" si="36"/>
        <v>0.100534453875671</v>
      </c>
      <c r="AD72" s="24">
        <f t="shared" si="37"/>
        <v>18.348627779200577</v>
      </c>
      <c r="AE72" s="32" t="s">
        <v>134</v>
      </c>
      <c r="AG72" s="34">
        <v>100</v>
      </c>
    </row>
    <row r="73" spans="1:33" ht="16.5" x14ac:dyDescent="0.3">
      <c r="A73" t="s">
        <v>87</v>
      </c>
      <c r="H73">
        <v>6</v>
      </c>
      <c r="I73" s="21" t="s">
        <v>157</v>
      </c>
      <c r="J73">
        <v>960</v>
      </c>
      <c r="K73">
        <v>0</v>
      </c>
      <c r="L73">
        <f t="shared" si="23"/>
        <v>960</v>
      </c>
      <c r="M73" s="23">
        <f>L15</f>
        <v>0.18042957704729576</v>
      </c>
      <c r="N73">
        <v>2.54</v>
      </c>
      <c r="O73">
        <v>1.6</v>
      </c>
      <c r="P73" s="24">
        <f t="shared" si="24"/>
        <v>3.5532500000000002</v>
      </c>
      <c r="Q73" s="24">
        <f t="shared" si="25"/>
        <v>2.6132499999999999</v>
      </c>
      <c r="R73" s="47">
        <f t="shared" si="26"/>
        <v>0.94000000000000039</v>
      </c>
      <c r="S73" s="26">
        <f t="shared" si="27"/>
        <v>3.62332009</v>
      </c>
      <c r="T73" s="26">
        <f t="shared" si="28"/>
        <v>2.6647832899999999</v>
      </c>
      <c r="U73" s="28">
        <f t="shared" si="29"/>
        <v>0.14170238516438646</v>
      </c>
      <c r="W73">
        <f t="shared" si="30"/>
        <v>6.5301544297330899E-2</v>
      </c>
      <c r="X73" s="35">
        <f t="shared" si="31"/>
        <v>65.301544297330892</v>
      </c>
      <c r="Y73">
        <f t="shared" si="32"/>
        <v>3.3474689747787717E-3</v>
      </c>
      <c r="Z73" s="37">
        <f t="shared" si="33"/>
        <v>3.08325</v>
      </c>
      <c r="AA73" s="15">
        <f t="shared" si="34"/>
        <v>1.9708789485672635</v>
      </c>
      <c r="AB73" s="45">
        <f t="shared" si="35"/>
        <v>0.1168822800112382</v>
      </c>
      <c r="AC73" s="31">
        <f t="shared" si="36"/>
        <v>5.9304646841048317E-2</v>
      </c>
      <c r="AD73" s="24">
        <f t="shared" si="37"/>
        <v>17.716264822131073</v>
      </c>
      <c r="AE73" s="32" t="s">
        <v>134</v>
      </c>
      <c r="AG73" s="34">
        <v>80</v>
      </c>
    </row>
    <row r="74" spans="1:33" x14ac:dyDescent="0.2">
      <c r="I74" s="21"/>
      <c r="R74" s="12"/>
      <c r="X74" s="36"/>
    </row>
    <row r="75" spans="1:33" x14ac:dyDescent="0.2">
      <c r="I75" s="21"/>
      <c r="N75" t="s">
        <v>158</v>
      </c>
      <c r="O75">
        <f>(N71-O72)/(L71+L72)</f>
        <v>7.7999019578887019E-4</v>
      </c>
      <c r="R75" s="12"/>
      <c r="X75" s="36"/>
    </row>
    <row r="76" spans="1:33" x14ac:dyDescent="0.2">
      <c r="I76" s="21"/>
      <c r="R76" s="12"/>
      <c r="X76" s="36"/>
      <c r="AG76" s="34" t="s">
        <v>136</v>
      </c>
    </row>
    <row r="77" spans="1:33" ht="16.5" x14ac:dyDescent="0.3">
      <c r="H77">
        <v>18</v>
      </c>
      <c r="I77" s="21" t="s">
        <v>159</v>
      </c>
      <c r="J77">
        <v>3300</v>
      </c>
      <c r="K77">
        <v>13</v>
      </c>
      <c r="L77">
        <f t="shared" ref="L77:L83" si="38">J77+K77</f>
        <v>3313</v>
      </c>
      <c r="M77" s="23">
        <f>M78+M83+M82</f>
        <v>1.1317993403132016</v>
      </c>
      <c r="N77" s="38">
        <f>O42</f>
        <v>4.6462248678855618</v>
      </c>
      <c r="O77" s="38">
        <f>N77-L77*O85</f>
        <v>3.2199751523252358</v>
      </c>
      <c r="P77" s="24">
        <f>N77+$J$53</f>
        <v>5.659474867885562</v>
      </c>
      <c r="Q77" s="24">
        <f>O77+$J$53</f>
        <v>4.233225152325236</v>
      </c>
      <c r="R77" s="47">
        <f>P77-Q77</f>
        <v>1.426249715560326</v>
      </c>
      <c r="S77" s="26">
        <f>P77*$J$55</f>
        <v>5.7710797122802653</v>
      </c>
      <c r="T77" s="26">
        <f>Q77*$J$55</f>
        <v>4.3167043523290891</v>
      </c>
      <c r="U77" s="28">
        <f>(S77^2-T77^2)/M77^1.82/L77</f>
        <v>3.5350086040470286E-3</v>
      </c>
      <c r="W77">
        <f>(5.2*10^(-7)*$U$17/$J$56/U77)^(1/4.82)</f>
        <v>0.14044080288470004</v>
      </c>
      <c r="X77" s="35">
        <f>W77*1000</f>
        <v>140.44080288470005</v>
      </c>
      <c r="Y77">
        <f>3.14*(W77/2)^2</f>
        <v>1.548304100519585E-2</v>
      </c>
      <c r="Z77" s="37">
        <f>(P77+Q77)/2</f>
        <v>4.946350010105399</v>
      </c>
      <c r="AA77" s="15">
        <f>Z77/$J$62/$J$60/$J$59*$J$61*100</f>
        <v>3.1618120837305446</v>
      </c>
      <c r="AB77" s="45">
        <f>M77*$U$17</f>
        <v>0.73317961265489207</v>
      </c>
      <c r="AC77" s="31">
        <f>AB77/AA77</f>
        <v>0.23188589114057387</v>
      </c>
      <c r="AD77" s="24">
        <f>AC77/Y77</f>
        <v>14.976766583693529</v>
      </c>
      <c r="AE77" s="32" t="s">
        <v>134</v>
      </c>
      <c r="AG77" s="34">
        <v>150</v>
      </c>
    </row>
    <row r="78" spans="1:33" ht="16.5" x14ac:dyDescent="0.3">
      <c r="H78">
        <v>21</v>
      </c>
      <c r="I78" s="21" t="s">
        <v>160</v>
      </c>
      <c r="J78">
        <v>2300</v>
      </c>
      <c r="K78">
        <v>13</v>
      </c>
      <c r="L78">
        <f t="shared" si="38"/>
        <v>2313</v>
      </c>
      <c r="M78" s="23">
        <f>M79+M80+M81</f>
        <v>0.5262325723482153</v>
      </c>
      <c r="N78" s="38">
        <f>O78+O85*L78</f>
        <v>3.2199751523252358</v>
      </c>
      <c r="O78" s="38">
        <f>N79</f>
        <v>2.2242264073535987</v>
      </c>
      <c r="P78" s="24">
        <f t="shared" ref="P78:P82" si="39">N78+$J$53</f>
        <v>4.233225152325236</v>
      </c>
      <c r="Q78" s="24">
        <f t="shared" ref="Q78:Q82" si="40">O78+$J$53</f>
        <v>3.2374764073535989</v>
      </c>
      <c r="R78" s="47">
        <f t="shared" ref="R78:R82" si="41">P78-Q78</f>
        <v>0.99574874497163712</v>
      </c>
      <c r="S78" s="26">
        <f t="shared" ref="S78:S82" si="42">P78*$J$55</f>
        <v>4.3167043523290891</v>
      </c>
      <c r="T78" s="26">
        <f t="shared" ref="T78:T82" si="43">Q78*$J$55</f>
        <v>3.3013194421066117</v>
      </c>
      <c r="U78" s="28">
        <f t="shared" ref="U78:U82" si="44">(S78^2-T78^2)/M78^1.82/L78</f>
        <v>1.0758554775396494E-2</v>
      </c>
      <c r="W78">
        <f t="shared" ref="W78:W82" si="45">(5.2*10^(-7)*$U$17/$J$56/U78)^(1/4.82)</f>
        <v>0.11148345718964843</v>
      </c>
      <c r="X78" s="35">
        <f t="shared" ref="X78:X82" si="46">W78*1000</f>
        <v>111.48345718964843</v>
      </c>
      <c r="Y78">
        <f t="shared" ref="Y78:Y82" si="47">3.14*(W78/2)^2</f>
        <v>9.7564205631605963E-3</v>
      </c>
      <c r="Z78" s="37">
        <f t="shared" ref="Z78:Z82" si="48">(P78+Q78)/2</f>
        <v>3.7353507798394174</v>
      </c>
      <c r="AA78" s="15">
        <f t="shared" ref="AA78:AA82" si="49">Z78/$J$62/$J$60/$J$59*$J$61*100</f>
        <v>2.3877156304223845</v>
      </c>
      <c r="AB78" s="45">
        <f t="shared" ref="AB78:AB82" si="50">M78*$U$17</f>
        <v>0.34089346036717388</v>
      </c>
      <c r="AC78" s="31">
        <f t="shared" ref="AC78:AC82" si="51">AB78/AA78</f>
        <v>0.14276970675392789</v>
      </c>
      <c r="AD78" s="24">
        <f t="shared" ref="AD78:AD82" si="52">AC78/Y78</f>
        <v>14.633410463363377</v>
      </c>
      <c r="AE78" s="32" t="s">
        <v>134</v>
      </c>
      <c r="AG78" s="34">
        <v>125</v>
      </c>
    </row>
    <row r="79" spans="1:33" ht="16.5" x14ac:dyDescent="0.3">
      <c r="H79">
        <v>24</v>
      </c>
      <c r="I79" s="21" t="s">
        <v>161</v>
      </c>
      <c r="J79">
        <v>1450</v>
      </c>
      <c r="K79">
        <v>0</v>
      </c>
      <c r="L79">
        <f t="shared" si="38"/>
        <v>1450</v>
      </c>
      <c r="M79" s="23">
        <f>L27</f>
        <v>4.656247149607632E-2</v>
      </c>
      <c r="N79" s="38">
        <f>O79+O85*L79</f>
        <v>2.2242264073535987</v>
      </c>
      <c r="O79" s="38">
        <v>1.6</v>
      </c>
      <c r="P79" s="24">
        <f t="shared" si="39"/>
        <v>3.2374764073535989</v>
      </c>
      <c r="Q79" s="24">
        <f t="shared" si="40"/>
        <v>2.6132499999999999</v>
      </c>
      <c r="R79" s="47">
        <f t="shared" si="41"/>
        <v>0.62422640735359902</v>
      </c>
      <c r="S79" s="26">
        <f t="shared" si="42"/>
        <v>3.3013194421066117</v>
      </c>
      <c r="T79" s="26">
        <f t="shared" si="43"/>
        <v>2.6647832899999999</v>
      </c>
      <c r="U79" s="28">
        <f t="shared" si="44"/>
        <v>0.69553699625761889</v>
      </c>
      <c r="W79">
        <f t="shared" si="45"/>
        <v>4.6943370262232297E-2</v>
      </c>
      <c r="X79" s="35">
        <f t="shared" si="46"/>
        <v>46.9433702622323</v>
      </c>
      <c r="Y79">
        <f t="shared" si="47"/>
        <v>1.7298888090879728E-3</v>
      </c>
      <c r="Z79" s="37">
        <f t="shared" si="48"/>
        <v>2.9253632036767994</v>
      </c>
      <c r="AA79" s="15">
        <f t="shared" si="49"/>
        <v>1.8699543517521746</v>
      </c>
      <c r="AB79" s="45">
        <f t="shared" si="50"/>
        <v>3.0163169035158241E-2</v>
      </c>
      <c r="AC79" s="31">
        <f t="shared" si="51"/>
        <v>1.6130430674361068E-2</v>
      </c>
      <c r="AD79" s="24">
        <f t="shared" si="52"/>
        <v>9.3245476759083203</v>
      </c>
      <c r="AE79" s="32" t="s">
        <v>134</v>
      </c>
      <c r="AG79" s="48">
        <v>65</v>
      </c>
    </row>
    <row r="80" spans="1:33" ht="16.5" x14ac:dyDescent="0.3">
      <c r="H80">
        <v>22</v>
      </c>
      <c r="I80" s="21" t="s">
        <v>164</v>
      </c>
      <c r="J80">
        <v>900</v>
      </c>
      <c r="K80">
        <v>0</v>
      </c>
      <c r="L80">
        <f t="shared" si="38"/>
        <v>900</v>
      </c>
      <c r="M80" s="23">
        <f>L25</f>
        <v>0.26746031421128547</v>
      </c>
      <c r="N80" s="38">
        <f>N79</f>
        <v>2.2242264073535987</v>
      </c>
      <c r="O80" s="38">
        <v>1.6</v>
      </c>
      <c r="P80" s="24">
        <f t="shared" si="39"/>
        <v>3.2374764073535989</v>
      </c>
      <c r="Q80" s="24">
        <f t="shared" si="40"/>
        <v>2.6132499999999999</v>
      </c>
      <c r="R80" s="47">
        <f t="shared" si="41"/>
        <v>0.62422640735359902</v>
      </c>
      <c r="S80" s="26">
        <f t="shared" si="42"/>
        <v>3.3013194421066117</v>
      </c>
      <c r="T80" s="26">
        <f t="shared" si="43"/>
        <v>2.6647832899999999</v>
      </c>
      <c r="U80" s="28">
        <f t="shared" si="44"/>
        <v>4.6522096145387798E-2</v>
      </c>
      <c r="W80">
        <f t="shared" si="45"/>
        <v>8.2277267464274814E-2</v>
      </c>
      <c r="X80" s="35">
        <f t="shared" si="46"/>
        <v>82.277267464274814</v>
      </c>
      <c r="Y80">
        <f t="shared" si="47"/>
        <v>5.3140957619894347E-3</v>
      </c>
      <c r="Z80" s="37">
        <f t="shared" si="48"/>
        <v>2.9253632036767994</v>
      </c>
      <c r="AA80" s="15">
        <f t="shared" si="49"/>
        <v>1.8699543517521746</v>
      </c>
      <c r="AB80" s="45">
        <f t="shared" si="50"/>
        <v>0.17326079154607074</v>
      </c>
      <c r="AC80" s="31">
        <f t="shared" si="51"/>
        <v>9.2655091491256378E-2</v>
      </c>
      <c r="AD80" s="24">
        <f t="shared" si="52"/>
        <v>17.435721078644836</v>
      </c>
      <c r="AE80" s="32" t="s">
        <v>134</v>
      </c>
      <c r="AG80" s="34">
        <v>100</v>
      </c>
    </row>
    <row r="81" spans="8:33" ht="16.5" x14ac:dyDescent="0.3">
      <c r="H81">
        <v>23</v>
      </c>
      <c r="I81" s="21" t="s">
        <v>165</v>
      </c>
      <c r="J81">
        <v>1100</v>
      </c>
      <c r="K81">
        <v>0</v>
      </c>
      <c r="L81">
        <f t="shared" si="38"/>
        <v>1100</v>
      </c>
      <c r="M81" s="23">
        <f>L26</f>
        <v>0.21220978664085352</v>
      </c>
      <c r="N81" s="38">
        <f>N79</f>
        <v>2.2242264073535987</v>
      </c>
      <c r="O81" s="38">
        <v>1.6</v>
      </c>
      <c r="P81" s="24">
        <f t="shared" si="39"/>
        <v>3.2374764073535989</v>
      </c>
      <c r="Q81" s="24">
        <f t="shared" si="40"/>
        <v>2.6132499999999999</v>
      </c>
      <c r="R81" s="47">
        <f t="shared" si="41"/>
        <v>0.62422640735359902</v>
      </c>
      <c r="S81" s="26">
        <f t="shared" si="42"/>
        <v>3.3013194421066117</v>
      </c>
      <c r="T81" s="26">
        <f t="shared" si="43"/>
        <v>2.6647832899999999</v>
      </c>
      <c r="U81" s="28">
        <f t="shared" si="44"/>
        <v>5.7997339642064903E-2</v>
      </c>
      <c r="W81">
        <f t="shared" si="45"/>
        <v>7.8598627765755255E-2</v>
      </c>
      <c r="X81" s="35">
        <f t="shared" si="46"/>
        <v>78.598627765755253</v>
      </c>
      <c r="Y81">
        <f t="shared" si="47"/>
        <v>4.8495292650279059E-3</v>
      </c>
      <c r="Z81" s="37">
        <f t="shared" si="48"/>
        <v>2.9253632036767994</v>
      </c>
      <c r="AA81" s="15">
        <f t="shared" si="49"/>
        <v>1.8699543517521746</v>
      </c>
      <c r="AB81" s="45">
        <f t="shared" si="50"/>
        <v>0.13746949978594492</v>
      </c>
      <c r="AC81" s="31">
        <f t="shared" si="51"/>
        <v>7.3514896049271999E-2</v>
      </c>
      <c r="AD81" s="24">
        <f t="shared" si="52"/>
        <v>15.15918185697328</v>
      </c>
      <c r="AE81" s="32" t="s">
        <v>134</v>
      </c>
      <c r="AG81" s="34">
        <v>100</v>
      </c>
    </row>
    <row r="82" spans="8:33" ht="16.5" x14ac:dyDescent="0.3">
      <c r="H82">
        <v>19</v>
      </c>
      <c r="I82" s="21" t="s">
        <v>162</v>
      </c>
      <c r="J82">
        <v>700</v>
      </c>
      <c r="K82">
        <v>0</v>
      </c>
      <c r="L82">
        <f t="shared" si="38"/>
        <v>700</v>
      </c>
      <c r="M82" s="23">
        <f>L23</f>
        <v>0.33492240239404275</v>
      </c>
      <c r="N82" s="38">
        <f>O77</f>
        <v>3.2199751523252358</v>
      </c>
      <c r="O82" s="40">
        <v>2.5</v>
      </c>
      <c r="P82" s="24">
        <f t="shared" si="39"/>
        <v>4.233225152325236</v>
      </c>
      <c r="Q82" s="24">
        <f t="shared" si="40"/>
        <v>3.5132500000000002</v>
      </c>
      <c r="R82" s="47">
        <f t="shared" si="41"/>
        <v>0.71997515232523579</v>
      </c>
      <c r="S82" s="26">
        <f t="shared" si="42"/>
        <v>4.3167043523290891</v>
      </c>
      <c r="T82" s="26">
        <f t="shared" si="43"/>
        <v>3.5825312899999999</v>
      </c>
      <c r="U82" s="28">
        <f t="shared" si="44"/>
        <v>6.0657853136687985E-2</v>
      </c>
      <c r="W82">
        <f t="shared" si="45"/>
        <v>7.7870629469324076E-2</v>
      </c>
      <c r="X82" s="35">
        <f t="shared" si="46"/>
        <v>77.870629469324072</v>
      </c>
      <c r="Y82">
        <f t="shared" si="47"/>
        <v>4.7601104231497797E-3</v>
      </c>
      <c r="Z82" s="37">
        <f t="shared" si="48"/>
        <v>3.8732375761626181</v>
      </c>
      <c r="AA82" s="15">
        <f t="shared" si="49"/>
        <v>2.4758558020460866</v>
      </c>
      <c r="AB82" s="45">
        <f t="shared" si="50"/>
        <v>0.21696273227086091</v>
      </c>
      <c r="AC82" s="31">
        <f t="shared" si="51"/>
        <v>8.7631408942136071E-2</v>
      </c>
      <c r="AD82" s="39">
        <f t="shared" si="52"/>
        <v>18.409532794861111</v>
      </c>
      <c r="AE82" s="41" t="s">
        <v>167</v>
      </c>
      <c r="AF82" s="32" t="s">
        <v>134</v>
      </c>
      <c r="AG82" s="48">
        <v>100</v>
      </c>
    </row>
    <row r="83" spans="8:33" ht="16.5" x14ac:dyDescent="0.3">
      <c r="H83">
        <v>20</v>
      </c>
      <c r="I83" s="21" t="s">
        <v>163</v>
      </c>
      <c r="J83">
        <v>1400</v>
      </c>
      <c r="K83">
        <v>0</v>
      </c>
      <c r="L83">
        <f t="shared" si="38"/>
        <v>1400</v>
      </c>
      <c r="M83" s="23">
        <f>L24</f>
        <v>0.27064436557094362</v>
      </c>
      <c r="N83" s="38">
        <f>N82</f>
        <v>3.2199751523252358</v>
      </c>
      <c r="O83" s="38">
        <v>1.6</v>
      </c>
      <c r="P83" s="24">
        <f>N83+$J$53</f>
        <v>4.233225152325236</v>
      </c>
      <c r="Q83" s="24">
        <f>O83+$J$53</f>
        <v>2.6132499999999999</v>
      </c>
      <c r="R83" s="47">
        <f>P83-Q83</f>
        <v>1.6199751523252361</v>
      </c>
      <c r="S83" s="26">
        <f>P83*$J$55</f>
        <v>4.3167043523290891</v>
      </c>
      <c r="T83" s="26">
        <f>Q83*$J$55</f>
        <v>2.6647832899999999</v>
      </c>
      <c r="U83" s="28">
        <f>(S83^2-T83^2)/M83^1.82/L83</f>
        <v>8.8887986057942403E-2</v>
      </c>
      <c r="W83">
        <f>(5.2*10^(-7)*$U$17/$J$56/U83)^(1/4.82)</f>
        <v>7.1935451448978699E-2</v>
      </c>
      <c r="X83" s="35">
        <f>W83*1000</f>
        <v>71.935451448978696</v>
      </c>
      <c r="Y83">
        <f>3.14*(W83/2)^2</f>
        <v>4.0621467025071722E-3</v>
      </c>
      <c r="Z83" s="37">
        <f>(P83+Q83)/2</f>
        <v>3.4232375761626179</v>
      </c>
      <c r="AA83" s="15">
        <f>Z83/$J$62/$J$60/$J$59*$J$61*100</f>
        <v>2.1882062352398695</v>
      </c>
      <c r="AB83" s="45">
        <f>M83*$U$17</f>
        <v>0.1753234200168573</v>
      </c>
      <c r="AC83" s="31">
        <f>AB83/AA83</f>
        <v>8.0121981737081779E-2</v>
      </c>
      <c r="AD83" s="24">
        <f>AC83/Y83</f>
        <v>19.724049278582232</v>
      </c>
      <c r="AE83" s="32" t="s">
        <v>134</v>
      </c>
      <c r="AG83" s="34">
        <v>80</v>
      </c>
    </row>
    <row r="84" spans="8:33" x14ac:dyDescent="0.2">
      <c r="I84" s="21"/>
      <c r="R84" s="12"/>
      <c r="X84" s="36"/>
    </row>
    <row r="85" spans="8:33" x14ac:dyDescent="0.2">
      <c r="I85" s="21"/>
      <c r="N85" t="s">
        <v>166</v>
      </c>
      <c r="O85">
        <f>(N77-O79)/(L77+L78+L79)</f>
        <v>4.3050097058868874E-4</v>
      </c>
      <c r="R85" s="12"/>
    </row>
    <row r="86" spans="8:33" x14ac:dyDescent="0.2">
      <c r="I86" s="21"/>
      <c r="R86" s="12"/>
      <c r="AG86" s="34" t="s">
        <v>136</v>
      </c>
    </row>
    <row r="87" spans="8:33" ht="16.5" x14ac:dyDescent="0.3">
      <c r="H87">
        <v>25</v>
      </c>
      <c r="I87" s="21" t="s">
        <v>168</v>
      </c>
      <c r="J87">
        <v>2200</v>
      </c>
      <c r="K87">
        <v>13</v>
      </c>
      <c r="L87">
        <f t="shared" ref="L87:L92" si="53">J87+K87</f>
        <v>2213</v>
      </c>
      <c r="M87" s="23">
        <f>M88+M91+M92</f>
        <v>0.67254066384196509</v>
      </c>
      <c r="N87" s="38">
        <f>O42</f>
        <v>4.6462248678855618</v>
      </c>
      <c r="O87" s="38">
        <f>N87-L87*O93</f>
        <v>3.4248650286554234</v>
      </c>
      <c r="P87" s="24">
        <f>N87+$J$53</f>
        <v>5.659474867885562</v>
      </c>
      <c r="Q87" s="24">
        <f>O87+$J$53</f>
        <v>4.4381150286554236</v>
      </c>
      <c r="R87" s="47">
        <f>P87-Q87</f>
        <v>1.2213598392301384</v>
      </c>
      <c r="S87" s="26">
        <f>P87*$J$55</f>
        <v>5.7710797122802653</v>
      </c>
      <c r="T87" s="26">
        <f>Q87*$J$55</f>
        <v>4.5256346570205084</v>
      </c>
      <c r="U87" s="28">
        <f>(S87^2-T87^2)/M87^1.82/L87</f>
        <v>1.1928726097554543E-2</v>
      </c>
      <c r="W87">
        <f>(5.2*10^(-7)*$U$17/$J$56/U87)^(1/4.82)</f>
        <v>0.10912078869018454</v>
      </c>
      <c r="X87" s="35">
        <f>W87*1000</f>
        <v>109.12078869018454</v>
      </c>
      <c r="Y87">
        <f>3.14*(W87/2)^2</f>
        <v>9.3472670216288075E-3</v>
      </c>
      <c r="Z87" s="37">
        <f>(P87+Q87)/2</f>
        <v>5.0487949482704924</v>
      </c>
      <c r="AA87" s="15">
        <f>Z87/$J$62/$J$60/$J$59*$J$61*100</f>
        <v>3.2272970661409413</v>
      </c>
      <c r="AB87" s="45">
        <f>M87*$U$17</f>
        <v>0.43567184203682502</v>
      </c>
      <c r="AC87" s="31">
        <f>AB87/AA87</f>
        <v>0.13499589071228019</v>
      </c>
      <c r="AD87" s="24">
        <f>AC87/Y87</f>
        <v>14.442284616445725</v>
      </c>
      <c r="AE87" s="32" t="s">
        <v>134</v>
      </c>
      <c r="AG87" s="34">
        <v>125</v>
      </c>
    </row>
    <row r="88" spans="8:33" ht="16.5" x14ac:dyDescent="0.3">
      <c r="H88">
        <v>28</v>
      </c>
      <c r="I88" s="21" t="s">
        <v>169</v>
      </c>
      <c r="J88">
        <v>1500</v>
      </c>
      <c r="K88">
        <v>6.5</v>
      </c>
      <c r="L88">
        <f t="shared" si="53"/>
        <v>1506.5</v>
      </c>
      <c r="M88" s="23">
        <f>M89+M90</f>
        <v>0.21029238946341033</v>
      </c>
      <c r="N88" s="38">
        <f>O88+O93*L88</f>
        <v>3.4214408485314971</v>
      </c>
      <c r="O88" s="38">
        <v>2.59</v>
      </c>
      <c r="P88" s="24">
        <f t="shared" ref="P88:P92" si="54">N88+$J$53</f>
        <v>4.4346908485314973</v>
      </c>
      <c r="Q88" s="24">
        <f t="shared" ref="Q88:Q92" si="55">O88+$J$53</f>
        <v>3.6032500000000001</v>
      </c>
      <c r="R88" s="47">
        <f t="shared" ref="R88:R92" si="56">P88-Q88</f>
        <v>0.83144084853149725</v>
      </c>
      <c r="S88" s="26">
        <f t="shared" ref="S88:S92" si="57">P88*$J$55</f>
        <v>4.522142952064538</v>
      </c>
      <c r="T88" s="26">
        <f t="shared" ref="T88:T92" si="58">Q88*$J$55</f>
        <v>3.67430609</v>
      </c>
      <c r="U88" s="28">
        <f t="shared" ref="U88:U92" si="59">(S88^2-T88^2)/M88^1.82/L88</f>
        <v>7.8782549414177269E-2</v>
      </c>
      <c r="W88">
        <f t="shared" ref="W88:W92" si="60">(5.2*10^(-7)*$U$17/$J$56/U88)^(1/4.82)</f>
        <v>7.3759344302255073E-2</v>
      </c>
      <c r="X88" s="35">
        <f t="shared" ref="X88:X92" si="61">W88*1000</f>
        <v>73.759344302255073</v>
      </c>
      <c r="Y88">
        <f t="shared" ref="Y88:Y92" si="62">3.14*(W88/2)^2</f>
        <v>4.2707460844404067E-3</v>
      </c>
      <c r="Z88" s="37">
        <f t="shared" ref="Z88:Z92" si="63">(P88+Q88)/2</f>
        <v>4.0189704242657491</v>
      </c>
      <c r="AA88" s="15">
        <f t="shared" ref="AA88:AA92" si="64">Z88/$J$62/$J$60/$J$59*$J$61*100</f>
        <v>2.5690113367712022</v>
      </c>
      <c r="AB88" s="45">
        <f t="shared" ref="AB88:AB92" si="65">M88*$U$17</f>
        <v>0.13622740989439722</v>
      </c>
      <c r="AC88" s="31">
        <f t="shared" ref="AC88:AC92" si="66">AB88/AA88</f>
        <v>5.3027173506213963E-2</v>
      </c>
      <c r="AD88" s="24">
        <f t="shared" ref="AD88:AD92" si="67">AC88/Y88</f>
        <v>12.416372328808698</v>
      </c>
      <c r="AE88" s="32" t="s">
        <v>134</v>
      </c>
      <c r="AG88" s="34">
        <v>80</v>
      </c>
    </row>
    <row r="89" spans="8:33" ht="16.5" x14ac:dyDescent="0.3">
      <c r="H89">
        <v>30</v>
      </c>
      <c r="I89" s="21" t="s">
        <v>170</v>
      </c>
      <c r="J89">
        <v>1000</v>
      </c>
      <c r="K89">
        <v>0</v>
      </c>
      <c r="L89">
        <f t="shared" si="53"/>
        <v>1000</v>
      </c>
      <c r="M89" s="23">
        <f>L31</f>
        <v>7.9768865641962353E-2</v>
      </c>
      <c r="N89" s="38">
        <v>2.59</v>
      </c>
      <c r="O89" s="38">
        <v>1.6</v>
      </c>
      <c r="P89" s="24">
        <f t="shared" si="54"/>
        <v>3.6032500000000001</v>
      </c>
      <c r="Q89" s="24">
        <f t="shared" si="55"/>
        <v>2.6132499999999999</v>
      </c>
      <c r="R89" s="47">
        <f t="shared" si="56"/>
        <v>0.99000000000000021</v>
      </c>
      <c r="S89" s="26">
        <f t="shared" si="57"/>
        <v>3.67430609</v>
      </c>
      <c r="T89" s="26">
        <f t="shared" si="58"/>
        <v>2.6647832899999999</v>
      </c>
      <c r="U89" s="28">
        <f t="shared" si="59"/>
        <v>0.63797871531778505</v>
      </c>
      <c r="W89">
        <f t="shared" si="60"/>
        <v>4.7792226472572252E-2</v>
      </c>
      <c r="X89" s="35">
        <f t="shared" si="61"/>
        <v>47.792226472572253</v>
      </c>
      <c r="Y89">
        <f t="shared" si="62"/>
        <v>1.7930160752964242E-3</v>
      </c>
      <c r="Z89" s="37">
        <f t="shared" si="63"/>
        <v>3.10825</v>
      </c>
      <c r="AA89" s="15">
        <f t="shared" si="64"/>
        <v>1.9868594800564976</v>
      </c>
      <c r="AB89" s="45">
        <f t="shared" si="65"/>
        <v>5.1674271162863217E-2</v>
      </c>
      <c r="AC89" s="31">
        <f t="shared" si="66"/>
        <v>2.6008015001339615E-2</v>
      </c>
      <c r="AD89" s="24">
        <f t="shared" si="67"/>
        <v>14.505176701798353</v>
      </c>
      <c r="AE89" s="32" t="s">
        <v>134</v>
      </c>
      <c r="AG89" s="34">
        <v>65</v>
      </c>
    </row>
    <row r="90" spans="8:33" ht="16.5" x14ac:dyDescent="0.3">
      <c r="H90">
        <v>29</v>
      </c>
      <c r="I90" s="21" t="s">
        <v>171</v>
      </c>
      <c r="J90">
        <v>1800</v>
      </c>
      <c r="K90">
        <v>0</v>
      </c>
      <c r="L90">
        <f t="shared" si="53"/>
        <v>1800</v>
      </c>
      <c r="M90" s="23">
        <f>L30</f>
        <v>0.130523523821448</v>
      </c>
      <c r="N90" s="38">
        <f>O90+L90*O93</f>
        <v>2.5934241801239262</v>
      </c>
      <c r="O90" s="38">
        <v>1.6</v>
      </c>
      <c r="P90" s="24">
        <f t="shared" si="54"/>
        <v>3.6066741801239264</v>
      </c>
      <c r="Q90" s="24">
        <f t="shared" si="55"/>
        <v>2.6132499999999999</v>
      </c>
      <c r="R90" s="47">
        <f t="shared" si="56"/>
        <v>0.99342418012392653</v>
      </c>
      <c r="S90" s="26">
        <f t="shared" si="57"/>
        <v>3.6777977949559699</v>
      </c>
      <c r="T90" s="26">
        <f t="shared" si="58"/>
        <v>2.6647832899999999</v>
      </c>
      <c r="U90" s="28">
        <f t="shared" si="59"/>
        <v>0.1452297496477864</v>
      </c>
      <c r="W90">
        <f t="shared" si="60"/>
        <v>6.4969273489793158E-2</v>
      </c>
      <c r="X90" s="35">
        <f t="shared" si="61"/>
        <v>64.969273489793153</v>
      </c>
      <c r="Y90">
        <f t="shared" si="62"/>
        <v>3.3134901007663589E-3</v>
      </c>
      <c r="Z90" s="37">
        <f t="shared" si="63"/>
        <v>3.1099620900619631</v>
      </c>
      <c r="AA90" s="15">
        <f t="shared" si="64"/>
        <v>1.9879538844224018</v>
      </c>
      <c r="AB90" s="45">
        <f t="shared" si="65"/>
        <v>8.4553138731534014E-2</v>
      </c>
      <c r="AC90" s="31">
        <f t="shared" si="66"/>
        <v>4.2532746556191291E-2</v>
      </c>
      <c r="AD90" s="24">
        <f t="shared" si="67"/>
        <v>12.836237701858268</v>
      </c>
      <c r="AE90" s="32" t="s">
        <v>134</v>
      </c>
      <c r="AG90" s="34">
        <v>80</v>
      </c>
    </row>
    <row r="91" spans="8:33" ht="16.5" x14ac:dyDescent="0.3">
      <c r="H91">
        <v>27</v>
      </c>
      <c r="I91" s="21" t="s">
        <v>172</v>
      </c>
      <c r="J91">
        <v>800</v>
      </c>
      <c r="K91">
        <v>0</v>
      </c>
      <c r="L91">
        <f t="shared" si="53"/>
        <v>800</v>
      </c>
      <c r="M91" s="23">
        <f>L29</f>
        <v>0.31462407497622197</v>
      </c>
      <c r="N91" s="38">
        <v>3.42</v>
      </c>
      <c r="O91" s="38">
        <v>1.6</v>
      </c>
      <c r="P91" s="24">
        <f t="shared" si="54"/>
        <v>4.4332500000000001</v>
      </c>
      <c r="Q91" s="24">
        <f t="shared" si="55"/>
        <v>2.6132499999999999</v>
      </c>
      <c r="R91" s="47">
        <f t="shared" si="56"/>
        <v>1.8200000000000003</v>
      </c>
      <c r="S91" s="26">
        <f t="shared" si="57"/>
        <v>4.5206736899999997</v>
      </c>
      <c r="T91" s="26">
        <f t="shared" si="58"/>
        <v>2.6647832899999999</v>
      </c>
      <c r="U91" s="28">
        <f t="shared" si="59"/>
        <v>0.13675253315088734</v>
      </c>
      <c r="W91">
        <f t="shared" si="60"/>
        <v>6.578503965766494E-2</v>
      </c>
      <c r="X91" s="35">
        <f t="shared" si="61"/>
        <v>65.785039657664939</v>
      </c>
      <c r="Y91">
        <f t="shared" si="62"/>
        <v>3.397222082567031E-3</v>
      </c>
      <c r="Z91" s="37">
        <f t="shared" si="63"/>
        <v>3.52325</v>
      </c>
      <c r="AA91" s="15">
        <f t="shared" si="64"/>
        <v>2.2521363027777865</v>
      </c>
      <c r="AB91" s="45">
        <f t="shared" si="65"/>
        <v>0.2038134757695966</v>
      </c>
      <c r="AC91" s="31">
        <f t="shared" si="66"/>
        <v>9.0497842212397581E-2</v>
      </c>
      <c r="AD91" s="24">
        <f t="shared" si="67"/>
        <v>26.63877721647653</v>
      </c>
      <c r="AE91" s="32" t="s">
        <v>134</v>
      </c>
      <c r="AG91" s="34">
        <v>80</v>
      </c>
    </row>
    <row r="92" spans="8:33" ht="16.5" x14ac:dyDescent="0.3">
      <c r="H92">
        <v>26</v>
      </c>
      <c r="I92" s="21" t="s">
        <v>173</v>
      </c>
      <c r="J92">
        <v>1300</v>
      </c>
      <c r="K92">
        <v>0</v>
      </c>
      <c r="L92">
        <f t="shared" si="53"/>
        <v>1300</v>
      </c>
      <c r="M92" s="23">
        <f>L28</f>
        <v>0.1476241994023329</v>
      </c>
      <c r="N92" s="38">
        <v>3.42</v>
      </c>
      <c r="O92" s="38">
        <v>1.6</v>
      </c>
      <c r="P92" s="24">
        <f t="shared" si="54"/>
        <v>4.4332500000000001</v>
      </c>
      <c r="Q92" s="24">
        <f t="shared" si="55"/>
        <v>2.6132499999999999</v>
      </c>
      <c r="R92" s="47">
        <f t="shared" si="56"/>
        <v>1.8200000000000003</v>
      </c>
      <c r="S92" s="26">
        <f t="shared" si="57"/>
        <v>4.5206736899999997</v>
      </c>
      <c r="T92" s="26">
        <f t="shared" si="58"/>
        <v>2.6647832899999999</v>
      </c>
      <c r="U92" s="28">
        <f t="shared" si="59"/>
        <v>0.33357739728073565</v>
      </c>
      <c r="W92">
        <f t="shared" si="60"/>
        <v>5.4674206163286124E-2</v>
      </c>
      <c r="X92" s="35">
        <f t="shared" si="61"/>
        <v>54.674206163286122</v>
      </c>
      <c r="Y92">
        <f t="shared" si="62"/>
        <v>2.3465760233746286E-3</v>
      </c>
      <c r="Z92" s="37">
        <f t="shared" si="63"/>
        <v>3.52325</v>
      </c>
      <c r="AA92" s="15">
        <f t="shared" si="64"/>
        <v>2.2521363027777865</v>
      </c>
      <c r="AB92" s="45">
        <f t="shared" si="65"/>
        <v>9.5630956372831255E-2</v>
      </c>
      <c r="AC92" s="31">
        <f t="shared" si="66"/>
        <v>4.2462330656843447E-2</v>
      </c>
      <c r="AD92" s="24">
        <f t="shared" si="67"/>
        <v>18.095442139470109</v>
      </c>
      <c r="AE92" s="32" t="s">
        <v>134</v>
      </c>
      <c r="AG92" s="34">
        <v>65</v>
      </c>
    </row>
    <row r="93" spans="8:33" x14ac:dyDescent="0.2">
      <c r="I93" s="21"/>
      <c r="N93" t="s">
        <v>166</v>
      </c>
      <c r="O93" s="42">
        <f>(N87-O90)/(L87+L88+L90)</f>
        <v>5.5190232229107019E-4</v>
      </c>
    </row>
    <row r="94" spans="8:33" x14ac:dyDescent="0.2">
      <c r="I94" s="21"/>
    </row>
    <row r="95" spans="8:33" x14ac:dyDescent="0.2">
      <c r="I95" s="21"/>
    </row>
    <row r="96" spans="8:33" x14ac:dyDescent="0.2">
      <c r="I96" s="21"/>
    </row>
  </sheetData>
  <mergeCells count="5">
    <mergeCell ref="A6:D6"/>
    <mergeCell ref="A7:D7"/>
    <mergeCell ref="Q13:U16"/>
    <mergeCell ref="Q20:U20"/>
    <mergeCell ref="I39:K39"/>
  </mergeCells>
  <phoneticPr fontId="1" type="noConversion"/>
  <hyperlinks>
    <hyperlink ref="I34" r:id="rId1" xr:uid="{7716F6E4-A2FA-47FA-BB54-4BBFEEE2334C}"/>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Yuwei Shi</dc:creator>
  <cp:lastModifiedBy>Qifan</cp:lastModifiedBy>
  <dcterms:created xsi:type="dcterms:W3CDTF">2015-06-05T18:19:34Z</dcterms:created>
  <dcterms:modified xsi:type="dcterms:W3CDTF">2023-02-28T00:35:43Z</dcterms:modified>
</cp:coreProperties>
</file>