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embre" sheetId="1" r:id="rId4"/>
    <sheet state="visible" name="Noviembre" sheetId="2" r:id="rId5"/>
    <sheet state="visible" name="Octubre" sheetId="3" r:id="rId6"/>
    <sheet state="visible" name="Septiembre" sheetId="4" r:id="rId7"/>
    <sheet state="visible" name="Agosto" sheetId="5" r:id="rId8"/>
    <sheet state="visible" name="Julio" sheetId="6" r:id="rId9"/>
    <sheet state="visible" name="Junio" sheetId="7" r:id="rId10"/>
    <sheet state="visible" name="Mayo" sheetId="8" r:id="rId11"/>
    <sheet state="visible" name="Abril" sheetId="9" r:id="rId12"/>
    <sheet state="visible" name="Marzo" sheetId="10" r:id="rId13"/>
    <sheet state="visible" name="Febrero" sheetId="11" r:id="rId14"/>
    <sheet state="visible" name="Enero" sheetId="12" r:id="rId15"/>
  </sheets>
  <definedNames>
    <definedName hidden="1" localSheetId="2" name="_xlnm._FilterDatabase">Octubre!$A$2:$W$98</definedName>
    <definedName hidden="1" localSheetId="1" name="_xlnm._FilterDatabase">Noviembre!$A$2:$W$100</definedName>
    <definedName hidden="1" localSheetId="0" name="_xlnm._FilterDatabase">Diciembre!$A$2:$W$100</definedName>
    <definedName hidden="1" localSheetId="3" name="_xlnm._FilterDatabase">Septiembre!$A$2:$W$98</definedName>
    <definedName hidden="1" localSheetId="5" name="_xlnm._FilterDatabase">Julio!$A$2:$V$98</definedName>
    <definedName hidden="1" localSheetId="6" name="_xlnm._FilterDatabase">Junio!$A$2:$U$98</definedName>
    <definedName hidden="1" localSheetId="7" name="_xlnm._FilterDatabase">Mayo!$A$2:$W$98</definedName>
    <definedName hidden="1" localSheetId="8" name="_xlnm._FilterDatabase">Abril!$A$2:$S$98</definedName>
    <definedName hidden="1" localSheetId="9" name="_xlnm._FilterDatabase">Marzo!$A$2:$Q$100</definedName>
    <definedName hidden="1" localSheetId="11" name="_xlnm._FilterDatabase">Enero!$A$2:$P$97</definedName>
    <definedName hidden="1" localSheetId="10" name="_xlnm._FilterDatabase">Febrero!$A$2:$P$97</definedName>
  </definedNames>
  <calcPr/>
</workbook>
</file>

<file path=xl/sharedStrings.xml><?xml version="1.0" encoding="utf-8"?>
<sst xmlns="http://schemas.openxmlformats.org/spreadsheetml/2006/main" count="13456" uniqueCount="367">
  <si>
    <t>2°</t>
  </si>
  <si>
    <t>1°</t>
  </si>
  <si>
    <t>Powered by TECDI 2018</t>
  </si>
  <si>
    <t>Octubre</t>
  </si>
  <si>
    <t>Noviembre</t>
  </si>
  <si>
    <t>Diciembre</t>
  </si>
  <si>
    <t>Nº de Misiones Oficiales</t>
  </si>
  <si>
    <t>Orden = 1°- Escuadra - ROL - 2°</t>
  </si>
  <si>
    <t>Rango</t>
  </si>
  <si>
    <t>Nombre</t>
  </si>
  <si>
    <t>C1</t>
  </si>
  <si>
    <t>C2</t>
  </si>
  <si>
    <t>Nac.</t>
  </si>
  <si>
    <t>Est.</t>
  </si>
  <si>
    <t>Escuadra</t>
  </si>
  <si>
    <t>ROL</t>
  </si>
  <si>
    <t>%</t>
  </si>
  <si>
    <t>Cap.</t>
  </si>
  <si>
    <t>Marino</t>
  </si>
  <si>
    <t>FL</t>
  </si>
  <si>
    <t>Ve</t>
  </si>
  <si>
    <t>A</t>
  </si>
  <si>
    <t>ALTM</t>
  </si>
  <si>
    <t>CC / CEs</t>
  </si>
  <si>
    <t>J</t>
  </si>
  <si>
    <t>Asistió a la Actividad Oficial</t>
  </si>
  <si>
    <t>Alf.</t>
  </si>
  <si>
    <t>Vakarian</t>
  </si>
  <si>
    <t>TE</t>
  </si>
  <si>
    <t>TS</t>
  </si>
  <si>
    <t>R</t>
  </si>
  <si>
    <t>May.</t>
  </si>
  <si>
    <t>Sander</t>
  </si>
  <si>
    <t>F</t>
  </si>
  <si>
    <t>Faltó sin justificar</t>
  </si>
  <si>
    <t>Daniel</t>
  </si>
  <si>
    <t>Justificó su falta</t>
  </si>
  <si>
    <t>L</t>
  </si>
  <si>
    <t>Licencia</t>
  </si>
  <si>
    <t>SgtM.</t>
  </si>
  <si>
    <t>Jaz</t>
  </si>
  <si>
    <t>MC</t>
  </si>
  <si>
    <t>1° P</t>
  </si>
  <si>
    <t>CP</t>
  </si>
  <si>
    <t>Licencia - ver Licencias</t>
  </si>
  <si>
    <t>Elemento en Reserva</t>
  </si>
  <si>
    <t>Cbo1.</t>
  </si>
  <si>
    <t>Jäger</t>
  </si>
  <si>
    <t>GL</t>
  </si>
  <si>
    <t>Ch</t>
  </si>
  <si>
    <t>1° P - 1°M</t>
  </si>
  <si>
    <t>.CE</t>
  </si>
  <si>
    <t>T</t>
  </si>
  <si>
    <t>Retraso (llegan +21:15 / retiran -23:00)</t>
  </si>
  <si>
    <t>Cbo.</t>
  </si>
  <si>
    <t>Riquelme</t>
  </si>
  <si>
    <t>RO</t>
  </si>
  <si>
    <t>.LE Alpha</t>
  </si>
  <si>
    <t>O</t>
  </si>
  <si>
    <t>Operación No Oficial - Participación en Improvisadas</t>
  </si>
  <si>
    <t>Lepeek</t>
  </si>
  <si>
    <t>MG</t>
  </si>
  <si>
    <t>Me</t>
  </si>
  <si>
    <t>.LE Bravo</t>
  </si>
  <si>
    <t>Dis.</t>
  </si>
  <si>
    <t>NP</t>
  </si>
  <si>
    <t>No Presente en el Clan</t>
  </si>
  <si>
    <t>Barbanegra</t>
  </si>
  <si>
    <t>Alpha</t>
  </si>
  <si>
    <t>Demian</t>
  </si>
  <si>
    <t>AT</t>
  </si>
  <si>
    <t>Ar</t>
  </si>
  <si>
    <t>Unidades</t>
  </si>
  <si>
    <t>Cantidad</t>
  </si>
  <si>
    <t>Jerarquía</t>
  </si>
  <si>
    <t>Royer</t>
  </si>
  <si>
    <t>OD</t>
  </si>
  <si>
    <t>1° De Marines</t>
  </si>
  <si>
    <t>Recluta</t>
  </si>
  <si>
    <t>Rct.</t>
  </si>
  <si>
    <t>Naroca</t>
  </si>
  <si>
    <t>2° De Marines</t>
  </si>
  <si>
    <t>Infante</t>
  </si>
  <si>
    <t>Salvatore</t>
  </si>
  <si>
    <t>Inf.</t>
  </si>
  <si>
    <t>Bravo</t>
  </si>
  <si>
    <t>1° Paracaidistas</t>
  </si>
  <si>
    <t>Distinguido</t>
  </si>
  <si>
    <t>Boster</t>
  </si>
  <si>
    <t>Espectro</t>
  </si>
  <si>
    <t>Cabo</t>
  </si>
  <si>
    <t>Lucifer</t>
  </si>
  <si>
    <t>Caballeria</t>
  </si>
  <si>
    <t>Cabo 1ero.</t>
  </si>
  <si>
    <t>Morales</t>
  </si>
  <si>
    <t>FAZR</t>
  </si>
  <si>
    <t>Sargento</t>
  </si>
  <si>
    <t>Keylon</t>
  </si>
  <si>
    <t>Alfa (Asp.)</t>
  </si>
  <si>
    <t>Sargento 1ero.</t>
  </si>
  <si>
    <t>Franco</t>
  </si>
  <si>
    <t>Reserva</t>
  </si>
  <si>
    <t>Sargento Mayor</t>
  </si>
  <si>
    <t>Hawk</t>
  </si>
  <si>
    <t>Teniente</t>
  </si>
  <si>
    <t>Hector</t>
  </si>
  <si>
    <t>Alférez</t>
  </si>
  <si>
    <t>Berserker</t>
  </si>
  <si>
    <t>Capitán</t>
  </si>
  <si>
    <t>Boss</t>
  </si>
  <si>
    <t>Mayor</t>
  </si>
  <si>
    <t>Dexter</t>
  </si>
  <si>
    <t>US</t>
  </si>
  <si>
    <t>Sgt.</t>
  </si>
  <si>
    <t>Eppxilon</t>
  </si>
  <si>
    <t>1° P - 2°M</t>
  </si>
  <si>
    <t>Países</t>
  </si>
  <si>
    <t>Clases</t>
  </si>
  <si>
    <t>Bayron</t>
  </si>
  <si>
    <t>Argentina</t>
  </si>
  <si>
    <t>AT - Antitanques</t>
  </si>
  <si>
    <t>Aiorus</t>
  </si>
  <si>
    <t>Chile</t>
  </si>
  <si>
    <t>FL - Fusilero</t>
  </si>
  <si>
    <t>Guanako</t>
  </si>
  <si>
    <t>ES</t>
  </si>
  <si>
    <t>Colombia</t>
  </si>
  <si>
    <t>GL - Granadero</t>
  </si>
  <si>
    <t>Chama</t>
  </si>
  <si>
    <t>Costa Rica</t>
  </si>
  <si>
    <t>MC - Médico de Combate</t>
  </si>
  <si>
    <t>Utate</t>
  </si>
  <si>
    <t>RD</t>
  </si>
  <si>
    <t>El Salvador</t>
  </si>
  <si>
    <t>MG - Ametrallador</t>
  </si>
  <si>
    <t>Leyte</t>
  </si>
  <si>
    <t>Japan</t>
  </si>
  <si>
    <t>OD - Operador de Drone</t>
  </si>
  <si>
    <t>Ojeda</t>
  </si>
  <si>
    <t>Mexico</t>
  </si>
  <si>
    <t>RO - Radio Operador</t>
  </si>
  <si>
    <t>Bulas</t>
  </si>
  <si>
    <t>Panama</t>
  </si>
  <si>
    <t>TE - Tirador de Escuadra</t>
  </si>
  <si>
    <t>Callizaya</t>
  </si>
  <si>
    <t>Bo</t>
  </si>
  <si>
    <t>Paraguay</t>
  </si>
  <si>
    <t>TS - Tirador Selecto</t>
  </si>
  <si>
    <t>Vasily</t>
  </si>
  <si>
    <t>Co</t>
  </si>
  <si>
    <t>Peru</t>
  </si>
  <si>
    <t>Sopa</t>
  </si>
  <si>
    <t>United States</t>
  </si>
  <si>
    <t>Chaboux</t>
  </si>
  <si>
    <t>Venezuela</t>
  </si>
  <si>
    <t>Suren</t>
  </si>
  <si>
    <t>Puerto Rico</t>
  </si>
  <si>
    <t>Disluk</t>
  </si>
  <si>
    <t>1° PP - 1°Pa</t>
  </si>
  <si>
    <t>Bolivia</t>
  </si>
  <si>
    <t>Turksman</t>
  </si>
  <si>
    <t>Republica Dominicana</t>
  </si>
  <si>
    <t>Pedro</t>
  </si>
  <si>
    <t>Pe</t>
  </si>
  <si>
    <t>Rivero</t>
  </si>
  <si>
    <t>Gaina</t>
  </si>
  <si>
    <t>Strix</t>
  </si>
  <si>
    <t>Licencias</t>
  </si>
  <si>
    <t>Aprobación</t>
  </si>
  <si>
    <t>Buda</t>
  </si>
  <si>
    <t>Lím.</t>
  </si>
  <si>
    <t>CE</t>
  </si>
  <si>
    <t>Cap. Marino</t>
  </si>
  <si>
    <t>Grimes</t>
  </si>
  <si>
    <t>Yifu</t>
  </si>
  <si>
    <t>Krow</t>
  </si>
  <si>
    <t>Tte. Marino</t>
  </si>
  <si>
    <t>Mothe</t>
  </si>
  <si>
    <t>Inf. Bulas</t>
  </si>
  <si>
    <t>Sí</t>
  </si>
  <si>
    <t>Antares</t>
  </si>
  <si>
    <t>Cbo1. Pedro</t>
  </si>
  <si>
    <t>Si</t>
  </si>
  <si>
    <t>???</t>
  </si>
  <si>
    <t>Sgt1.</t>
  </si>
  <si>
    <t>Arcanoy</t>
  </si>
  <si>
    <t>Rct.Naroca</t>
  </si>
  <si>
    <t>Enin</t>
  </si>
  <si>
    <t>Alberto</t>
  </si>
  <si>
    <t>Cdte. A2</t>
  </si>
  <si>
    <t>Ghaos</t>
  </si>
  <si>
    <t>Ja</t>
  </si>
  <si>
    <t>Cdte. A3</t>
  </si>
  <si>
    <t>Felipe</t>
  </si>
  <si>
    <t>Cdte. A4</t>
  </si>
  <si>
    <t>Inf.Boster</t>
  </si>
  <si>
    <t>Tano</t>
  </si>
  <si>
    <t>Cdte. Cab</t>
  </si>
  <si>
    <t>Pantera</t>
  </si>
  <si>
    <t>Trip. A1</t>
  </si>
  <si>
    <t>Matthew</t>
  </si>
  <si>
    <t>Bajastar</t>
  </si>
  <si>
    <t>Trip. A2</t>
  </si>
  <si>
    <t>Pesadilla</t>
  </si>
  <si>
    <t>Trip. A3</t>
  </si>
  <si>
    <t>Matos</t>
  </si>
  <si>
    <t>Notas - Separar por Filas</t>
  </si>
  <si>
    <t>Walter</t>
  </si>
  <si>
    <t>Nikquitu</t>
  </si>
  <si>
    <t>Zeus</t>
  </si>
  <si>
    <t>1º E</t>
  </si>
  <si>
    <t>Rios</t>
  </si>
  <si>
    <t>19/10/2018 - Wolf es baja</t>
  </si>
  <si>
    <t>Vikingo</t>
  </si>
  <si>
    <t>30/10/2018-nota importante organizar la lista de asistencia muy bien porfavor estoy viendo que hay mucho errores y no lo actualizan atten:Cbo1.Alberto</t>
  </si>
  <si>
    <t>Beats</t>
  </si>
  <si>
    <t>1º E PC</t>
  </si>
  <si>
    <t>Perea</t>
  </si>
  <si>
    <t>Matako</t>
  </si>
  <si>
    <t>30/10/2018 - Tano solicita Reserva de Pesadilla</t>
  </si>
  <si>
    <t>Alvarado</t>
  </si>
  <si>
    <t>López</t>
  </si>
  <si>
    <t>Int.</t>
  </si>
  <si>
    <t>Kowalski</t>
  </si>
  <si>
    <t>1° P - 1°Pa</t>
  </si>
  <si>
    <t>Miguel</t>
  </si>
  <si>
    <t>Kasparov</t>
  </si>
  <si>
    <t>Pa</t>
  </si>
  <si>
    <t>Doblejota</t>
  </si>
  <si>
    <t>Asistencias</t>
  </si>
  <si>
    <t>Promedio Asistencia</t>
  </si>
  <si>
    <t>Justificadas</t>
  </si>
  <si>
    <t>Promedio Justificadas</t>
  </si>
  <si>
    <t>Faltas</t>
  </si>
  <si>
    <t>Promedio Faltas</t>
  </si>
  <si>
    <t>TOTAL</t>
  </si>
  <si>
    <t>Promedio de Activos</t>
  </si>
  <si>
    <t>Septiembre</t>
  </si>
  <si>
    <t>Agosto</t>
  </si>
  <si>
    <t>Julio</t>
  </si>
  <si>
    <t>Tte.</t>
  </si>
  <si>
    <t>10/09 Eppxilon solicita Licencia para Bulas hasta el 6/10</t>
  </si>
  <si>
    <t>Wolf</t>
  </si>
  <si>
    <t>21/09 Se pide reserva de Turskman</t>
  </si>
  <si>
    <t>14/09 Eppxilon solicita Reserva para Callizaya</t>
  </si>
  <si>
    <t>21/09 Esparza pasa a ser Baja</t>
  </si>
  <si>
    <t>28/09/2018 Disluk pide Licencia de Pedro por 2 semanas</t>
  </si>
  <si>
    <t>Milk</t>
  </si>
  <si>
    <t>Drakonak</t>
  </si>
  <si>
    <t>Sgt. Arcanoy</t>
  </si>
  <si>
    <t>Rct.Boss</t>
  </si>
  <si>
    <t>Rct.Dexter</t>
  </si>
  <si>
    <t>Junio</t>
  </si>
  <si>
    <t>Orden = 1°- ROL - 2°</t>
  </si>
  <si>
    <t>NOTA: Actividad del día 24/07 suspendida por falla en el server.</t>
  </si>
  <si>
    <t>2º E</t>
  </si>
  <si>
    <t>Rct. Boss extiende licencia. (22/08)</t>
  </si>
  <si>
    <t>Rct. Dexter - esperando situación (22/08)</t>
  </si>
  <si>
    <t>Wison</t>
  </si>
  <si>
    <t>PR</t>
  </si>
  <si>
    <t>Agregado Rct. Vasily a la 1era. Marines (22/08)</t>
  </si>
  <si>
    <t xml:space="preserve"> A</t>
  </si>
  <si>
    <t>Alvarado y Perea a reserva (22/08)</t>
  </si>
  <si>
    <t>Esparza</t>
  </si>
  <si>
    <t>Anibal</t>
  </si>
  <si>
    <t>Rodek</t>
  </si>
  <si>
    <t>Ortiz</t>
  </si>
  <si>
    <t>CT1</t>
  </si>
  <si>
    <t>CT2</t>
  </si>
  <si>
    <t>Mayo</t>
  </si>
  <si>
    <t>Tte.Marino</t>
  </si>
  <si>
    <t>Dis. Matako</t>
  </si>
  <si>
    <t>Cobra</t>
  </si>
  <si>
    <t>Abril</t>
  </si>
  <si>
    <t>Misiones Of.</t>
  </si>
  <si>
    <t>1°-ROL-2°</t>
  </si>
  <si>
    <t>Huigui</t>
  </si>
  <si>
    <t>Py</t>
  </si>
  <si>
    <t>Rooster</t>
  </si>
  <si>
    <t>CR</t>
  </si>
  <si>
    <t>Asistió</t>
  </si>
  <si>
    <t>Faltó</t>
  </si>
  <si>
    <t>Justificó</t>
  </si>
  <si>
    <t>Retraso</t>
  </si>
  <si>
    <t>Operación</t>
  </si>
  <si>
    <t>Teuri</t>
  </si>
  <si>
    <t>Hasta</t>
  </si>
  <si>
    <t>Rct. González</t>
  </si>
  <si>
    <t>Cbo. Bayron</t>
  </si>
  <si>
    <t>Rct. Boster</t>
  </si>
  <si>
    <t>Cbo. Franco</t>
  </si>
  <si>
    <t>Rct. Mothe</t>
  </si>
  <si>
    <t>Inf. Riquelme</t>
  </si>
  <si>
    <t>Rct. Milk</t>
  </si>
  <si>
    <t>Gonzalez</t>
  </si>
  <si>
    <t>Marzo</t>
  </si>
  <si>
    <t>Misiones</t>
  </si>
  <si>
    <t>Hugui</t>
  </si>
  <si>
    <t>Venez</t>
  </si>
  <si>
    <t>PC</t>
  </si>
  <si>
    <t>3° De Marines</t>
  </si>
  <si>
    <t>4° De Marines</t>
  </si>
  <si>
    <t>Pancho</t>
  </si>
  <si>
    <t>Quintanilla</t>
  </si>
  <si>
    <t>Woods</t>
  </si>
  <si>
    <t>Jager</t>
  </si>
  <si>
    <t>Reserva:</t>
  </si>
  <si>
    <t>Thor</t>
  </si>
  <si>
    <t>Waporu</t>
  </si>
  <si>
    <t>Mathew</t>
  </si>
  <si>
    <t>Dis.Krow</t>
  </si>
  <si>
    <t>Rct.Leyte</t>
  </si>
  <si>
    <t>Inf. Aiorus</t>
  </si>
  <si>
    <t>Dis.Perea</t>
  </si>
  <si>
    <t>Febrero</t>
  </si>
  <si>
    <t>Robert</t>
  </si>
  <si>
    <t>Dis.Drakonak</t>
  </si>
  <si>
    <t>Asistio</t>
  </si>
  <si>
    <t>Cbo.Hector</t>
  </si>
  <si>
    <t>Cbo.Alberto</t>
  </si>
  <si>
    <t>2° P</t>
  </si>
  <si>
    <t>Cbo.Franco</t>
  </si>
  <si>
    <t>2° P - 3°M</t>
  </si>
  <si>
    <t>Rct.Gonzalez</t>
  </si>
  <si>
    <t>Falto</t>
  </si>
  <si>
    <t>Cbo.Hawk</t>
  </si>
  <si>
    <t>Promedio Asistencia Total</t>
  </si>
  <si>
    <t>Promedio Justificadas Total</t>
  </si>
  <si>
    <t>Rodriguez</t>
  </si>
  <si>
    <t>Justifico</t>
  </si>
  <si>
    <t>2° P - 4°M</t>
  </si>
  <si>
    <t>Promedio Faltas Total</t>
  </si>
  <si>
    <t>Control</t>
  </si>
  <si>
    <t>Gil</t>
  </si>
  <si>
    <t>Enero</t>
  </si>
  <si>
    <t>1° PP</t>
  </si>
  <si>
    <t>CPP</t>
  </si>
  <si>
    <t>Mauri</t>
  </si>
  <si>
    <t>j</t>
  </si>
  <si>
    <t>-</t>
  </si>
  <si>
    <t>Toxic</t>
  </si>
  <si>
    <t>Corvus</t>
  </si>
  <si>
    <t>Kuroe</t>
  </si>
  <si>
    <t>Valencia</t>
  </si>
  <si>
    <t>Leandro</t>
  </si>
  <si>
    <t>Aprobacion</t>
  </si>
  <si>
    <t>Conejo</t>
  </si>
  <si>
    <t>Leiva</t>
  </si>
  <si>
    <t>si</t>
  </si>
  <si>
    <t>Rct.Conejo</t>
  </si>
  <si>
    <t>Rct.Chama</t>
  </si>
  <si>
    <t>Nike</t>
  </si>
  <si>
    <t>Cbo1°Grimes</t>
  </si>
  <si>
    <t>Jack</t>
  </si>
  <si>
    <t>Dark</t>
  </si>
  <si>
    <t>Dax</t>
  </si>
  <si>
    <t>Dis.Matos</t>
  </si>
  <si>
    <t>Asistencia</t>
  </si>
  <si>
    <t>Cris</t>
  </si>
  <si>
    <t>Noltyex</t>
  </si>
  <si>
    <t>Furia</t>
  </si>
  <si>
    <t>Justificaciones</t>
  </si>
  <si>
    <t>Aragorn</t>
  </si>
  <si>
    <t>Jimerson</t>
  </si>
  <si>
    <t>Afas</t>
  </si>
  <si>
    <t>Nelson</t>
  </si>
  <si>
    <t>Corso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</si>
</sst>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"/>
    <numFmt numFmtId="165" formatCode="D\-M\-YYYY"/>
    <numFmt numFmtId="166" formatCode="D/MM/YYYY"/>
    <numFmt numFmtId="167" formatCode="DD/MM/YYYY"/>
  </numFmts>
  <fonts count="52">
    <font>
      <sz val="10.0"/>
      <color rgb="FF000000"/>
      <name val="Arial"/>
    </font>
    <font>
      <b/>
      <sz val="10.0"/>
      <color theme="1"/>
      <name val="Cambria"/>
    </font>
    <font>
      <b/>
      <sz val="10.0"/>
      <color theme="1"/>
      <name val="Arial"/>
    </font>
    <font/>
    <font>
      <b/>
      <i/>
      <sz val="10.0"/>
      <color theme="1"/>
      <name val="Cambria"/>
    </font>
    <font>
      <b/>
      <sz val="10.0"/>
      <color rgb="FF000000"/>
      <name val="Cambria"/>
    </font>
    <font>
      <b/>
      <sz val="12.0"/>
      <color theme="1"/>
      <name val="Roboto"/>
    </font>
    <font>
      <b/>
      <sz val="12.0"/>
      <color rgb="FF000000"/>
      <name val="Roboto"/>
    </font>
    <font>
      <sz val="12.0"/>
      <color rgb="FF000000"/>
      <name val="Roboto"/>
    </font>
    <font>
      <sz val="12.0"/>
      <color theme="1"/>
      <name val="Roboto"/>
    </font>
    <font>
      <b/>
      <sz val="10.0"/>
      <color rgb="FFA61C00"/>
      <name val="Arial"/>
    </font>
    <font>
      <sz val="10.0"/>
      <color rgb="FFA61C00"/>
      <name val="Cambria"/>
    </font>
    <font>
      <b/>
      <sz val="12.0"/>
      <color rgb="FF000000"/>
      <name val="Inconsolata"/>
    </font>
    <font>
      <sz val="10.0"/>
      <color rgb="FF000000"/>
      <name val="Roboto"/>
    </font>
    <font>
      <b/>
      <sz val="10.0"/>
      <color rgb="FF000000"/>
      <name val="Roboto"/>
    </font>
    <font>
      <sz val="10.0"/>
      <color rgb="FF000000"/>
      <name val="Cambria"/>
    </font>
    <font>
      <b/>
      <sz val="11.0"/>
      <color theme="1"/>
      <name val="Arial"/>
    </font>
    <font>
      <b/>
      <i/>
      <u/>
      <sz val="10.0"/>
      <color rgb="FF0000FF"/>
      <name val="Cambria"/>
    </font>
    <font>
      <b/>
      <sz val="11.0"/>
      <color rgb="FF000000"/>
      <name val="Arial"/>
    </font>
    <font>
      <sz val="10.0"/>
      <color theme="1"/>
      <name val="Cambria"/>
    </font>
    <font>
      <b/>
      <sz val="10.0"/>
      <color rgb="FFFFFFFF"/>
      <name val="Cambria"/>
    </font>
    <font>
      <sz val="10.0"/>
      <color rgb="FFFFFFFF"/>
      <name val="Roboto"/>
    </font>
    <font>
      <b/>
      <sz val="11.0"/>
      <color rgb="FFA61C00"/>
      <name val="Arial"/>
    </font>
    <font>
      <sz val="11.0"/>
      <color rgb="FFA61C00"/>
      <name val="Arial"/>
    </font>
    <font>
      <sz val="10.0"/>
      <color rgb="FFA61C00"/>
      <name val="Arial"/>
    </font>
    <font>
      <sz val="11.0"/>
      <color theme="1"/>
      <name val="Cambria"/>
    </font>
    <font>
      <b/>
      <sz val="11.0"/>
      <color rgb="FF000000"/>
      <name val="Cambria"/>
    </font>
    <font>
      <i/>
      <sz val="11.0"/>
      <color theme="1"/>
      <name val="Cambria"/>
    </font>
    <font>
      <sz val="10.0"/>
      <color rgb="FFFFFFFF"/>
      <name val="Cambria"/>
    </font>
    <font>
      <sz val="12.0"/>
      <color rgb="FF000000"/>
      <name val="Inconsolata"/>
    </font>
    <font>
      <b/>
      <sz val="12.0"/>
      <color theme="1"/>
      <name val="Cambria"/>
    </font>
    <font>
      <b/>
      <sz val="12.0"/>
      <color theme="1"/>
      <name val="Arial"/>
    </font>
    <font>
      <b/>
      <sz val="8.0"/>
      <color theme="1"/>
      <name val="Arial"/>
    </font>
    <font>
      <b/>
      <i/>
      <sz val="14.0"/>
      <color theme="1"/>
      <name val="Cambria"/>
    </font>
    <font>
      <b/>
      <sz val="12.0"/>
      <color rgb="FF000000"/>
      <name val="Cambria"/>
    </font>
    <font>
      <sz val="12.0"/>
      <color rgb="FF000000"/>
      <name val="Arial"/>
    </font>
    <font>
      <sz val="12.0"/>
      <color theme="1"/>
      <name val="Cambria"/>
    </font>
    <font>
      <sz val="11.0"/>
      <color rgb="FF000000"/>
      <name val="Inconsolata"/>
    </font>
    <font>
      <b/>
      <sz val="12.0"/>
      <color rgb="FF000000"/>
      <name val="Arial"/>
    </font>
    <font>
      <b/>
      <i/>
      <sz val="12.0"/>
      <color theme="1"/>
      <name val="Cambria"/>
    </font>
    <font>
      <sz val="12.0"/>
      <color theme="1"/>
      <name val="Arial"/>
    </font>
    <font>
      <b/>
      <sz val="11.0"/>
      <color rgb="FFFFFFFF"/>
      <name val="Cambria"/>
    </font>
    <font>
      <sz val="11.0"/>
      <color rgb="FFFFFFFF"/>
      <name val="Roboto"/>
    </font>
    <font>
      <sz val="8.0"/>
      <color rgb="FFFFFFFF"/>
      <name val="Roboto"/>
    </font>
    <font>
      <sz val="11.0"/>
      <color theme="1"/>
      <name val="Arial"/>
    </font>
    <font>
      <b/>
      <strike/>
      <sz val="10.0"/>
      <color rgb="FFA61C00"/>
      <name val="Arial"/>
    </font>
    <font>
      <strike/>
      <sz val="10.0"/>
      <color rgb="FFA61C00"/>
      <name val="Cambria"/>
    </font>
    <font>
      <b/>
      <strike/>
      <sz val="12.0"/>
      <color theme="1"/>
      <name val="Arial"/>
    </font>
    <font>
      <strike/>
      <sz val="12.0"/>
      <color theme="1"/>
      <name val="Cambria"/>
    </font>
    <font>
      <sz val="12.0"/>
      <color rgb="FFFFFFFF"/>
      <name val="Cambria"/>
    </font>
    <font>
      <strike/>
      <sz val="11.0"/>
      <color rgb="FF000000"/>
      <name val="Inconsolata"/>
    </font>
    <font>
      <b/>
      <strike/>
      <sz val="12.0"/>
      <color rgb="FF000000"/>
      <name val="Cambria"/>
    </font>
  </fonts>
  <fills count="32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990000"/>
        <bgColor rgb="FF990000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3" fontId="5" numFmtId="3" xfId="0" applyAlignment="1" applyBorder="1" applyFill="1" applyFont="1" applyNumberFormat="1">
      <alignment horizontal="center" shrinkToFit="0" vertical="bottom" wrapText="0"/>
    </xf>
    <xf borderId="1" fillId="3" fontId="1" numFmtId="3" xfId="0" applyAlignment="1" applyBorder="1" applyFont="1" applyNumberFormat="1">
      <alignment horizontal="center" shrinkToFit="0" vertical="bottom" wrapText="0"/>
    </xf>
    <xf borderId="4" fillId="4" fontId="1" numFmtId="0" xfId="0" applyAlignment="1" applyBorder="1" applyFill="1" applyFont="1">
      <alignment horizontal="center" shrinkToFit="0" vertical="bottom" wrapText="0"/>
    </xf>
    <xf borderId="7" fillId="5" fontId="6" numFmtId="0" xfId="0" applyAlignment="1" applyBorder="1" applyFill="1" applyFont="1">
      <alignment horizontal="center" shrinkToFit="0" vertical="bottom" wrapText="0"/>
    </xf>
    <xf borderId="7" fillId="6" fontId="6" numFmtId="0" xfId="0" applyAlignment="1" applyBorder="1" applyFill="1" applyFont="1">
      <alignment horizontal="center" shrinkToFit="0" vertical="bottom" wrapText="0"/>
    </xf>
    <xf borderId="7" fillId="7" fontId="7" numFmtId="0" xfId="0" applyAlignment="1" applyBorder="1" applyFill="1" applyFont="1">
      <alignment horizontal="center" shrinkToFit="0" vertical="center" wrapText="0"/>
    </xf>
    <xf borderId="7" fillId="8" fontId="7" numFmtId="0" xfId="0" applyAlignment="1" applyBorder="1" applyFill="1" applyFont="1">
      <alignment horizontal="center" shrinkToFit="0" vertical="center" wrapText="0"/>
    </xf>
    <xf borderId="7" fillId="9" fontId="7" numFmtId="0" xfId="0" applyAlignment="1" applyBorder="1" applyFill="1" applyFont="1">
      <alignment horizontal="center" shrinkToFit="0" vertical="center" wrapText="0"/>
    </xf>
    <xf borderId="7" fillId="10" fontId="8" numFmtId="0" xfId="0" applyAlignment="1" applyBorder="1" applyFill="1" applyFont="1">
      <alignment horizontal="center" shrinkToFit="0" vertical="bottom" wrapText="0"/>
    </xf>
    <xf borderId="7" fillId="11" fontId="6" numFmtId="164" xfId="0" applyAlignment="1" applyBorder="1" applyFill="1" applyFont="1" applyNumberFormat="1">
      <alignment horizontal="right" shrinkToFit="0" vertical="bottom" wrapText="0"/>
    </xf>
    <xf borderId="7" fillId="12" fontId="6" numFmtId="164" xfId="0" applyAlignment="1" applyBorder="1" applyFill="1" applyFont="1" applyNumberFormat="1">
      <alignment horizontal="right" shrinkToFit="0" vertical="bottom" wrapText="0"/>
    </xf>
    <xf borderId="8" fillId="11" fontId="6" numFmtId="164" xfId="0" applyAlignment="1" applyBorder="1" applyFont="1" applyNumberFormat="1">
      <alignment horizontal="center" shrinkToFit="0" vertical="bottom" wrapText="0"/>
    </xf>
    <xf borderId="7" fillId="3" fontId="7" numFmtId="0" xfId="0" applyAlignment="1" applyBorder="1" applyFont="1">
      <alignment horizontal="center"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7" fillId="5" fontId="0" numFmtId="0" xfId="0" applyAlignment="1" applyBorder="1" applyFont="1">
      <alignment horizontal="center" shrinkToFit="0" vertical="bottom" wrapText="0"/>
    </xf>
    <xf borderId="7" fillId="13" fontId="10" numFmtId="0" xfId="0" applyAlignment="1" applyBorder="1" applyFill="1" applyFont="1">
      <alignment horizontal="center" shrinkToFit="0" vertical="bottom" wrapText="0"/>
    </xf>
    <xf borderId="7" fillId="13" fontId="11" numFmtId="0" xfId="0" applyAlignment="1" applyBorder="1" applyFont="1">
      <alignment horizontal="center" shrinkToFit="0" vertical="bottom" wrapText="0"/>
    </xf>
    <xf borderId="7" fillId="7" fontId="12" numFmtId="0" xfId="0" applyAlignment="1" applyBorder="1" applyFont="1">
      <alignment horizontal="center" shrinkToFit="0" vertical="center" wrapText="0"/>
    </xf>
    <xf borderId="7" fillId="8" fontId="13" numFmtId="0" xfId="0" applyAlignment="1" applyBorder="1" applyFont="1">
      <alignment horizontal="center" shrinkToFit="0" vertical="center" wrapText="0"/>
    </xf>
    <xf borderId="7" fillId="9" fontId="1" numFmtId="0" xfId="0" applyAlignment="1" applyBorder="1" applyFont="1">
      <alignment horizontal="center" shrinkToFit="0" vertical="bottom" wrapText="0"/>
    </xf>
    <xf borderId="7" fillId="10" fontId="14" numFmtId="0" xfId="0" applyAlignment="1" applyBorder="1" applyFont="1">
      <alignment horizontal="center" shrinkToFit="0" vertical="bottom" wrapText="0"/>
    </xf>
    <xf borderId="7" fillId="10" fontId="15" numFmtId="0" xfId="0" applyAlignment="1" applyBorder="1" applyFont="1">
      <alignment horizontal="center" shrinkToFit="0" vertical="bottom" wrapText="0"/>
    </xf>
    <xf borderId="7" fillId="3" fontId="15" numFmtId="9" xfId="0" applyAlignment="1" applyBorder="1" applyFont="1" applyNumberFormat="1">
      <alignment horizontal="center" shrinkToFit="0" vertical="bottom" wrapText="0"/>
    </xf>
    <xf borderId="9" fillId="9" fontId="1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0" fontId="3" numFmtId="0" xfId="0" applyBorder="1" applyFont="1"/>
    <xf borderId="12" fillId="0" fontId="3" numFmtId="0" xfId="0" applyBorder="1" applyFont="1"/>
    <xf borderId="1" fillId="0" fontId="4" numFmtId="0" xfId="0" applyAlignment="1" applyBorder="1" applyFont="1">
      <alignment shrinkToFit="0" vertical="bottom" wrapText="0"/>
    </xf>
    <xf borderId="7" fillId="14" fontId="16" numFmtId="0" xfId="0" applyAlignment="1" applyBorder="1" applyFill="1" applyFont="1">
      <alignment horizontal="center" shrinkToFit="0" vertical="bottom" wrapText="0"/>
    </xf>
    <xf borderId="1" fillId="0" fontId="17" numFmtId="0" xfId="0" applyAlignment="1" applyBorder="1" applyFont="1">
      <alignment shrinkToFit="0" vertical="bottom" wrapText="0"/>
    </xf>
    <xf borderId="7" fillId="4" fontId="18" numFmtId="0" xfId="0" applyAlignment="1" applyBorder="1" applyFont="1">
      <alignment horizontal="center" shrinkToFit="0" vertical="bottom" wrapText="0"/>
    </xf>
    <xf borderId="7" fillId="0" fontId="19" numFmtId="0" xfId="0" applyAlignment="1" applyBorder="1" applyFont="1">
      <alignment horizontal="center" shrinkToFit="0" vertical="bottom" wrapText="0"/>
    </xf>
    <xf borderId="13" fillId="15" fontId="20" numFmtId="0" xfId="0" applyAlignment="1" applyBorder="1" applyFill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7" fillId="8" fontId="21" numFmtId="0" xfId="0" applyAlignment="1" applyBorder="1" applyFont="1">
      <alignment shrinkToFit="0" vertical="bottom" wrapText="0"/>
    </xf>
    <xf borderId="7" fillId="8" fontId="21" numFmtId="0" xfId="0" applyAlignment="1" applyBorder="1" applyFont="1">
      <alignment horizontal="left"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9" fillId="8" fontId="21" numFmtId="0" xfId="0" applyAlignment="1" applyBorder="1" applyFont="1">
      <alignment shrinkToFit="0" vertical="bottom" wrapText="0"/>
    </xf>
    <xf borderId="14" fillId="9" fontId="1" numFmtId="0" xfId="0" applyAlignment="1" applyBorder="1" applyFont="1">
      <alignment horizontal="center" shrinkToFit="0" vertical="bottom" wrapText="0"/>
    </xf>
    <xf borderId="3" fillId="0" fontId="19" numFmtId="0" xfId="0" applyAlignment="1" applyBorder="1" applyFont="1">
      <alignment horizontal="center" shrinkToFit="0" vertical="bottom" wrapText="0"/>
    </xf>
    <xf borderId="7" fillId="11" fontId="18" numFmtId="0" xfId="0" applyAlignment="1" applyBorder="1" applyFont="1">
      <alignment horizontal="center" shrinkToFit="0" vertical="bottom" wrapText="0"/>
    </xf>
    <xf borderId="7" fillId="13" fontId="22" numFmtId="0" xfId="0" applyAlignment="1" applyBorder="1" applyFont="1">
      <alignment horizontal="center" shrinkToFit="0" vertical="bottom" wrapText="0"/>
    </xf>
    <xf borderId="7" fillId="13" fontId="23" numFmtId="0" xfId="0" applyAlignment="1" applyBorder="1" applyFont="1">
      <alignment horizontal="center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6" fontId="19" numFmtId="0" xfId="0" applyAlignment="1" applyBorder="1" applyFill="1" applyFont="1">
      <alignment horizontal="center" shrinkToFit="0" vertical="bottom" wrapText="0"/>
    </xf>
    <xf borderId="15" fillId="0" fontId="3" numFmtId="0" xfId="0" applyBorder="1" applyFont="1"/>
    <xf borderId="7" fillId="16" fontId="19" numFmtId="0" xfId="0" applyAlignment="1" applyBorder="1" applyFont="1">
      <alignment horizontal="center" shrinkToFit="0" vertical="bottom" wrapText="0"/>
    </xf>
    <xf borderId="1" fillId="17" fontId="19" numFmtId="0" xfId="0" applyAlignment="1" applyBorder="1" applyFill="1" applyFont="1">
      <alignment horizontal="center" shrinkToFit="0" vertical="bottom" wrapText="0"/>
    </xf>
    <xf borderId="7" fillId="17" fontId="1" numFmtId="166" xfId="0" applyAlignment="1" applyBorder="1" applyFont="1" applyNumberFormat="1">
      <alignment horizontal="center" shrinkToFit="0" vertical="bottom" wrapText="0"/>
    </xf>
    <xf borderId="7" fillId="17" fontId="1" numFmtId="0" xfId="0" applyAlignment="1" applyBorder="1" applyFont="1">
      <alignment horizontal="center" shrinkToFit="0" vertical="bottom" wrapText="0"/>
    </xf>
    <xf borderId="7" fillId="13" fontId="24" numFmtId="0" xfId="0" applyAlignment="1" applyBorder="1" applyFont="1">
      <alignment horizontal="center" shrinkToFit="0" vertical="bottom" wrapText="0"/>
    </xf>
    <xf borderId="7" fillId="0" fontId="25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0" fontId="27" numFmtId="0" xfId="0" applyAlignment="1" applyBorder="1" applyFont="1">
      <alignment shrinkToFit="0" vertical="bottom" wrapText="0"/>
    </xf>
    <xf borderId="14" fillId="13" fontId="11" numFmtId="0" xfId="0" applyAlignment="1" applyBorder="1" applyFont="1">
      <alignment horizontal="center" shrinkToFit="0" vertical="bottom" wrapText="0"/>
    </xf>
    <xf borderId="9" fillId="13" fontId="10" numFmtId="0" xfId="0" applyAlignment="1" applyBorder="1" applyFont="1">
      <alignment horizontal="center" shrinkToFit="0" vertical="bottom" wrapText="0"/>
    </xf>
    <xf borderId="16" fillId="13" fontId="11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17" fillId="4" fontId="19" numFmtId="0" xfId="0" applyAlignment="1" applyBorder="1" applyFont="1">
      <alignment horizontal="center" shrinkToFit="0" vertical="bottom" wrapText="0"/>
    </xf>
    <xf borderId="7" fillId="10" fontId="19" numFmtId="0" xfId="0" applyAlignment="1" applyBorder="1" applyFont="1">
      <alignment horizontal="center" shrinkToFit="0" vertical="bottom" wrapText="0"/>
    </xf>
    <xf borderId="7" fillId="18" fontId="28" numFmtId="4" xfId="0" applyAlignment="1" applyBorder="1" applyFill="1" applyFont="1" applyNumberFormat="1">
      <alignment horizontal="center" shrinkToFit="0" vertical="bottom" wrapText="0"/>
    </xf>
    <xf borderId="7" fillId="0" fontId="19" numFmtId="0" xfId="0" applyAlignment="1" applyBorder="1" applyFont="1">
      <alignment horizontal="left" shrinkToFit="0" vertical="bottom" wrapText="0"/>
    </xf>
    <xf borderId="17" fillId="14" fontId="19" numFmtId="0" xfId="0" applyAlignment="1" applyBorder="1" applyFont="1">
      <alignment horizontal="center" shrinkToFit="0" vertical="bottom" wrapText="0"/>
    </xf>
    <xf borderId="7" fillId="19" fontId="19" numFmtId="0" xfId="0" applyAlignment="1" applyBorder="1" applyFill="1" applyFont="1">
      <alignment horizontal="center" shrinkToFit="0" vertical="bottom" wrapText="0"/>
    </xf>
    <xf borderId="7" fillId="20" fontId="28" numFmtId="4" xfId="0" applyAlignment="1" applyBorder="1" applyFill="1" applyFont="1" applyNumberFormat="1">
      <alignment horizontal="center" shrinkToFit="0" vertical="bottom" wrapText="0"/>
    </xf>
    <xf borderId="17" fillId="21" fontId="19" numFmtId="0" xfId="0" applyAlignment="1" applyBorder="1" applyFill="1" applyFont="1">
      <alignment horizontal="center" shrinkToFit="0" vertical="bottom" wrapText="0"/>
    </xf>
    <xf borderId="7" fillId="22" fontId="19" numFmtId="0" xfId="0" applyAlignment="1" applyBorder="1" applyFill="1" applyFont="1">
      <alignment horizontal="center" shrinkToFit="0" vertical="bottom" wrapText="0"/>
    </xf>
    <xf borderId="7" fillId="23" fontId="28" numFmtId="4" xfId="0" applyAlignment="1" applyBorder="1" applyFill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left" shrinkToFit="0" vertical="bottom" wrapText="0"/>
    </xf>
    <xf borderId="13" fillId="24" fontId="28" numFmtId="0" xfId="0" applyAlignment="1" applyBorder="1" applyFill="1" applyFont="1">
      <alignment horizontal="center" shrinkToFit="0" vertical="bottom" wrapText="0"/>
    </xf>
    <xf borderId="13" fillId="25" fontId="28" numFmtId="0" xfId="0" applyAlignment="1" applyBorder="1" applyFill="1" applyFont="1">
      <alignment horizontal="center" shrinkToFit="0" vertical="bottom" wrapText="0"/>
    </xf>
    <xf borderId="13" fillId="8" fontId="28" numFmtId="0" xfId="0" applyAlignment="1" applyBorder="1" applyFont="1">
      <alignment horizontal="center" shrinkToFit="0" vertical="bottom" wrapText="0"/>
    </xf>
    <xf borderId="7" fillId="24" fontId="28" numFmtId="4" xfId="0" applyAlignment="1" applyBorder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7" fillId="7" fontId="29" numFmtId="0" xfId="0" applyAlignment="1" applyBorder="1" applyFont="1">
      <alignment horizontal="center" shrinkToFit="0" vertical="center" wrapText="0"/>
    </xf>
    <xf borderId="7" fillId="26" fontId="15" numFmtId="4" xfId="0" applyAlignment="1" applyBorder="1" applyFill="1" applyFont="1" applyNumberFormat="1">
      <alignment horizontal="center" shrinkToFit="0" vertical="bottom" wrapText="0"/>
    </xf>
    <xf borderId="13" fillId="4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4" fillId="4" fontId="26" numFmtId="0" xfId="0" applyAlignment="1" applyBorder="1" applyFont="1">
      <alignment horizontal="center" shrinkToFit="0" vertical="bottom" wrapText="0"/>
    </xf>
    <xf borderId="13" fillId="9" fontId="1" numFmtId="0" xfId="0" applyAlignment="1" applyBorder="1" applyFont="1">
      <alignment horizontal="center" shrinkToFit="0" vertical="bottom" wrapText="0"/>
    </xf>
    <xf borderId="7" fillId="0" fontId="25" numFmtId="0" xfId="0" applyAlignment="1" applyBorder="1" applyFont="1">
      <alignment shrinkToFit="0" vertical="bottom" wrapText="0"/>
    </xf>
    <xf borderId="7" fillId="27" fontId="28" numFmtId="4" xfId="0" applyAlignment="1" applyBorder="1" applyFill="1" applyFont="1" applyNumberFormat="1">
      <alignment horizontal="center" shrinkToFit="0" vertical="bottom" wrapText="0"/>
    </xf>
    <xf borderId="19" fillId="3" fontId="1" numFmtId="3" xfId="0" applyAlignment="1" applyBorder="1" applyFont="1" applyNumberFormat="1">
      <alignment horizontal="center" shrinkToFit="0" vertical="bottom" wrapText="0"/>
    </xf>
    <xf borderId="20" fillId="0" fontId="3" numFmtId="0" xfId="0" applyBorder="1" applyFont="1"/>
    <xf borderId="7" fillId="11" fontId="6" numFmtId="164" xfId="0" applyAlignment="1" applyBorder="1" applyFont="1" applyNumberFormat="1">
      <alignment horizontal="center" shrinkToFit="0" vertical="bottom" wrapText="0"/>
    </xf>
    <xf borderId="8" fillId="12" fontId="6" numFmtId="164" xfId="0" applyAlignment="1" applyBorder="1" applyFont="1" applyNumberFormat="1">
      <alignment horizontal="center" shrinkToFit="0" vertical="bottom" wrapText="0"/>
    </xf>
    <xf borderId="0" fillId="0" fontId="30" numFmtId="0" xfId="0" applyAlignment="1" applyFont="1">
      <alignment horizontal="center" shrinkToFit="0" vertical="bottom" wrapText="0"/>
    </xf>
    <xf borderId="0" fillId="0" fontId="31" numFmtId="0" xfId="0" applyAlignment="1" applyFont="1">
      <alignment horizontal="center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4" fillId="2" fontId="33" numFmtId="0" xfId="0" applyAlignment="1" applyBorder="1" applyFont="1">
      <alignment horizontal="center" shrinkToFit="0" vertical="bottom" wrapText="0"/>
    </xf>
    <xf borderId="7" fillId="3" fontId="30" numFmtId="3" xfId="0" applyAlignment="1" applyBorder="1" applyFont="1" applyNumberFormat="1">
      <alignment horizontal="center" shrinkToFit="0" vertical="bottom" wrapText="0"/>
    </xf>
    <xf borderId="0" fillId="0" fontId="30" numFmtId="165" xfId="0" applyAlignment="1" applyFont="1" applyNumberFormat="1">
      <alignment horizontal="center" shrinkToFit="0" vertical="bottom" wrapText="0"/>
    </xf>
    <xf borderId="7" fillId="0" fontId="30" numFmtId="0" xfId="0" applyAlignment="1" applyBorder="1" applyFont="1">
      <alignment horizontal="center" shrinkToFit="0" vertical="bottom" wrapText="0"/>
    </xf>
    <xf borderId="7" fillId="0" fontId="31" numFmtId="0" xfId="0" applyAlignment="1" applyBorder="1" applyFont="1">
      <alignment horizontal="center" shrinkToFit="0" vertical="bottom" wrapText="0"/>
    </xf>
    <xf borderId="7" fillId="28" fontId="34" numFmtId="0" xfId="0" applyAlignment="1" applyBorder="1" applyFill="1" applyFont="1">
      <alignment horizontal="center" shrinkToFit="0" vertical="center" wrapText="0"/>
    </xf>
    <xf borderId="7" fillId="28" fontId="34" numFmtId="0" xfId="0" applyAlignment="1" applyBorder="1" applyFont="1">
      <alignment horizontal="center" shrinkToFit="0" vertical="bottom" wrapText="0"/>
    </xf>
    <xf borderId="7" fillId="11" fontId="30" numFmtId="164" xfId="0" applyAlignment="1" applyBorder="1" applyFont="1" applyNumberFormat="1">
      <alignment horizontal="right" shrinkToFit="0" vertical="bottom" wrapText="0"/>
    </xf>
    <xf borderId="7" fillId="12" fontId="30" numFmtId="164" xfId="0" applyAlignment="1" applyBorder="1" applyFont="1" applyNumberFormat="1">
      <alignment horizontal="right" shrinkToFit="0" vertical="bottom" wrapText="0"/>
    </xf>
    <xf borderId="7" fillId="11" fontId="30" numFmtId="164" xfId="0" applyAlignment="1" applyBorder="1" applyFont="1" applyNumberFormat="1">
      <alignment horizontal="center" shrinkToFit="0" vertical="bottom" wrapText="0"/>
    </xf>
    <xf borderId="7" fillId="3" fontId="30" numFmtId="9" xfId="0" applyAlignment="1" applyBorder="1" applyFont="1" applyNumberFormat="1">
      <alignment horizontal="center" shrinkToFit="0" vertical="bottom" wrapText="0"/>
    </xf>
    <xf borderId="7" fillId="0" fontId="35" numFmtId="0" xfId="0" applyAlignment="1" applyBorder="1" applyFont="1">
      <alignment horizontal="center" shrinkToFit="0" vertical="bottom" wrapText="0"/>
    </xf>
    <xf borderId="7" fillId="0" fontId="36" numFmtId="0" xfId="0" applyAlignment="1" applyBorder="1" applyFont="1">
      <alignment horizontal="center" shrinkToFit="0" vertical="bottom" wrapText="0"/>
    </xf>
    <xf borderId="13" fillId="29" fontId="37" numFmtId="0" xfId="0" applyAlignment="1" applyBorder="1" applyFill="1" applyFont="1">
      <alignment horizontal="center" shrinkToFit="0" vertical="center" wrapText="0"/>
    </xf>
    <xf borderId="7" fillId="28" fontId="38" numFmtId="0" xfId="0" applyAlignment="1" applyBorder="1" applyFont="1">
      <alignment horizontal="center" shrinkToFit="0" vertical="bottom" wrapText="0"/>
    </xf>
    <xf borderId="7" fillId="3" fontId="36" numFmtId="9" xfId="0" applyAlignment="1" applyBorder="1" applyFont="1" applyNumberFormat="1">
      <alignment horizontal="center" shrinkToFit="0" vertical="bottom" wrapText="0"/>
    </xf>
    <xf borderId="18" fillId="0" fontId="36" numFmtId="0" xfId="0" applyAlignment="1" applyBorder="1" applyFont="1">
      <alignment horizontal="center" shrinkToFit="0" vertical="bottom" wrapText="0"/>
    </xf>
    <xf borderId="18" fillId="0" fontId="39" numFmtId="0" xfId="0" applyAlignment="1" applyBorder="1" applyFont="1">
      <alignment shrinkToFit="0" vertical="bottom" wrapText="0"/>
    </xf>
    <xf borderId="9" fillId="29" fontId="40" numFmtId="0" xfId="0" applyAlignment="1" applyBorder="1" applyFont="1">
      <alignment horizontal="center" shrinkToFit="0" vertical="bottom" wrapText="0"/>
    </xf>
    <xf borderId="7" fillId="0" fontId="39" numFmtId="0" xfId="0" applyAlignment="1" applyBorder="1" applyFont="1">
      <alignment shrinkToFit="0" vertical="bottom" wrapText="0"/>
    </xf>
    <xf borderId="7" fillId="0" fontId="40" numFmtId="0" xfId="0" applyAlignment="1" applyBorder="1" applyFont="1">
      <alignment horizontal="center" shrinkToFit="0" vertical="bottom" wrapText="0"/>
    </xf>
    <xf borderId="7" fillId="29" fontId="37" numFmtId="0" xfId="0" applyAlignment="1" applyBorder="1" applyFont="1">
      <alignment horizontal="center" shrinkToFit="0" vertical="center" wrapText="0"/>
    </xf>
    <xf borderId="13" fillId="15" fontId="41" numFmtId="0" xfId="0" applyAlignment="1" applyBorder="1" applyFont="1">
      <alignment horizontal="left" shrinkToFit="0" vertical="bottom" wrapText="0"/>
    </xf>
    <xf borderId="7" fillId="2" fontId="42" numFmtId="0" xfId="0" applyAlignment="1" applyBorder="1" applyFont="1">
      <alignment shrinkToFit="0" vertical="bottom" wrapText="0"/>
    </xf>
    <xf borderId="7" fillId="2" fontId="42" numFmtId="0" xfId="0" applyAlignment="1" applyBorder="1" applyFont="1">
      <alignment horizontal="left" shrinkToFit="0" vertical="bottom" wrapText="0"/>
    </xf>
    <xf borderId="7" fillId="2" fontId="43" numFmtId="0" xfId="0" applyAlignment="1" applyBorder="1" applyFont="1">
      <alignment shrinkToFit="0" vertical="bottom" wrapText="0"/>
    </xf>
    <xf borderId="7" fillId="0" fontId="44" numFmtId="0" xfId="0" applyAlignment="1" applyBorder="1" applyFont="1">
      <alignment shrinkToFit="0" vertical="bottom" wrapText="0"/>
    </xf>
    <xf borderId="3" fillId="0" fontId="44" numFmtId="0" xfId="0" applyAlignment="1" applyBorder="1" applyFont="1">
      <alignment shrinkToFit="0" vertical="bottom" wrapText="0"/>
    </xf>
    <xf borderId="14" fillId="4" fontId="38" numFmtId="0" xfId="0" applyAlignment="1" applyBorder="1" applyFont="1">
      <alignment horizontal="center" shrinkToFit="0" vertical="bottom" wrapText="0"/>
    </xf>
    <xf borderId="8" fillId="2" fontId="42" numFmtId="0" xfId="0" applyAlignment="1" applyBorder="1" applyFont="1">
      <alignment horizontal="left" shrinkToFit="0" vertical="bottom" wrapText="0"/>
    </xf>
    <xf borderId="1" fillId="0" fontId="36" numFmtId="0" xfId="0" applyAlignment="1" applyBorder="1" applyFont="1">
      <alignment horizontal="center" shrinkToFit="0" vertical="bottom" wrapText="0"/>
    </xf>
    <xf borderId="7" fillId="0" fontId="30" numFmtId="166" xfId="0" applyAlignment="1" applyBorder="1" applyFont="1" applyNumberFormat="1">
      <alignment horizontal="center" shrinkToFit="0" vertical="bottom" wrapText="0"/>
    </xf>
    <xf borderId="13" fillId="29" fontId="37" numFmtId="0" xfId="0" applyAlignment="1" applyBorder="1" applyFont="1">
      <alignment shrinkToFit="0" vertical="bottom" wrapText="0"/>
    </xf>
    <xf borderId="21" fillId="11" fontId="30" numFmtId="0" xfId="0" applyAlignment="1" applyBorder="1" applyFont="1">
      <alignment horizontal="center" shrinkToFit="0" vertical="bottom" wrapText="0"/>
    </xf>
    <xf borderId="22" fillId="0" fontId="3" numFmtId="0" xfId="0" applyBorder="1" applyFont="1"/>
    <xf borderId="0" fillId="0" fontId="36" numFmtId="0" xfId="0" applyAlignment="1" applyFont="1">
      <alignment horizontal="center" shrinkToFit="0" vertical="bottom" wrapText="0"/>
    </xf>
    <xf borderId="21" fillId="11" fontId="1" numFmtId="0" xfId="0" applyAlignment="1" applyBorder="1" applyFont="1">
      <alignment horizontal="center" shrinkToFit="0" vertical="bottom" wrapText="0"/>
    </xf>
    <xf borderId="1" fillId="16" fontId="36" numFmtId="0" xfId="0" applyAlignment="1" applyBorder="1" applyFont="1">
      <alignment horizontal="center" shrinkToFit="0" vertical="bottom" wrapText="0"/>
    </xf>
    <xf borderId="7" fillId="16" fontId="36" numFmtId="0" xfId="0" applyAlignment="1" applyBorder="1" applyFont="1">
      <alignment horizontal="center" shrinkToFit="0" vertical="bottom" wrapText="0"/>
    </xf>
    <xf borderId="17" fillId="16" fontId="36" numFmtId="0" xfId="0" applyAlignment="1" applyBorder="1" applyFont="1">
      <alignment horizontal="center" shrinkToFit="0" vertical="bottom" wrapText="0"/>
    </xf>
    <xf borderId="13" fillId="28" fontId="34" numFmtId="0" xfId="0" applyAlignment="1" applyBorder="1" applyFont="1">
      <alignment horizontal="center" shrinkToFit="0" vertical="bottom" wrapText="0"/>
    </xf>
    <xf borderId="1" fillId="17" fontId="36" numFmtId="0" xfId="0" applyAlignment="1" applyBorder="1" applyFont="1">
      <alignment horizontal="center" shrinkToFit="0" vertical="bottom" wrapText="0"/>
    </xf>
    <xf borderId="7" fillId="17" fontId="30" numFmtId="0" xfId="0" applyAlignment="1" applyBorder="1" applyFont="1">
      <alignment horizontal="center" shrinkToFit="0" vertical="bottom" wrapText="0"/>
    </xf>
    <xf borderId="7" fillId="17" fontId="30" numFmtId="166" xfId="0" applyAlignment="1" applyBorder="1" applyFont="1" applyNumberFormat="1">
      <alignment horizontal="center" shrinkToFit="0" vertical="bottom" wrapText="0"/>
    </xf>
    <xf borderId="7" fillId="17" fontId="1" numFmtId="167" xfId="0" applyAlignment="1" applyBorder="1" applyFont="1" applyNumberFormat="1">
      <alignment horizontal="center" shrinkToFit="0" vertical="bottom" wrapText="0"/>
    </xf>
    <xf borderId="1" fillId="17" fontId="40" numFmtId="0" xfId="0" applyAlignment="1" applyBorder="1" applyFont="1">
      <alignment horizontal="center" shrinkToFit="0" vertical="bottom" wrapText="0"/>
    </xf>
    <xf borderId="14" fillId="17" fontId="38" numFmtId="166" xfId="0" applyAlignment="1" applyBorder="1" applyFont="1" applyNumberFormat="1">
      <alignment horizontal="center" shrinkToFit="0" vertical="bottom" wrapText="0"/>
    </xf>
    <xf borderId="14" fillId="17" fontId="31" numFmtId="0" xfId="0" applyAlignment="1" applyBorder="1" applyFont="1">
      <alignment horizontal="center" shrinkToFit="0" vertical="bottom" wrapText="0"/>
    </xf>
    <xf borderId="7" fillId="0" fontId="30" numFmtId="0" xfId="0" applyAlignment="1" applyBorder="1" applyFont="1">
      <alignment horizontal="left" shrinkToFit="0" vertical="bottom" wrapText="0"/>
    </xf>
    <xf borderId="7" fillId="0" fontId="25" numFmtId="0" xfId="0" applyAlignment="1" applyBorder="1" applyFont="1">
      <alignment horizontal="right" shrinkToFit="0" vertical="bottom" wrapText="0"/>
    </xf>
    <xf borderId="7" fillId="29" fontId="38" numFmtId="0" xfId="0" applyAlignment="1" applyBorder="1" applyFont="1">
      <alignment horizontal="center" shrinkToFit="0" vertical="bottom" wrapText="0"/>
    </xf>
    <xf borderId="7" fillId="13" fontId="45" numFmtId="0" xfId="0" applyAlignment="1" applyBorder="1" applyFont="1">
      <alignment horizontal="center" shrinkToFit="0" vertical="bottom" wrapText="0"/>
    </xf>
    <xf borderId="7" fillId="13" fontId="46" numFmtId="0" xfId="0" applyAlignment="1" applyBorder="1" applyFont="1">
      <alignment horizontal="center" shrinkToFit="0" vertical="bottom" wrapText="0"/>
    </xf>
    <xf borderId="7" fillId="30" fontId="19" numFmtId="0" xfId="0" applyAlignment="1" applyBorder="1" applyFill="1" applyFont="1">
      <alignment horizontal="center" shrinkToFit="0" vertical="bottom" wrapText="0"/>
    </xf>
    <xf borderId="7" fillId="29" fontId="19" numFmtId="0" xfId="0" applyAlignment="1" applyBorder="1" applyFont="1">
      <alignment horizontal="center" shrinkToFit="0" vertical="bottom" wrapText="0"/>
    </xf>
    <xf borderId="7" fillId="0" fontId="19" numFmtId="0" xfId="0" applyAlignment="1" applyBorder="1" applyFont="1">
      <alignment horizontal="right" shrinkToFit="0" vertical="bottom" wrapText="0"/>
    </xf>
    <xf borderId="7" fillId="0" fontId="47" numFmtId="0" xfId="0" applyAlignment="1" applyBorder="1" applyFont="1">
      <alignment horizontal="center" shrinkToFit="0" vertical="bottom" wrapText="0"/>
    </xf>
    <xf borderId="7" fillId="0" fontId="48" numFmtId="0" xfId="0" applyAlignment="1" applyBorder="1" applyFont="1">
      <alignment horizontal="center" shrinkToFit="0" vertical="bottom" wrapText="0"/>
    </xf>
    <xf borderId="7" fillId="29" fontId="36" numFmtId="0" xfId="0" applyAlignment="1" applyBorder="1" applyFont="1">
      <alignment horizontal="center" shrinkToFit="0" vertical="bottom" wrapText="0"/>
    </xf>
    <xf borderId="1" fillId="0" fontId="30" numFmtId="0" xfId="0" applyAlignment="1" applyBorder="1" applyFont="1">
      <alignment horizontal="center" shrinkToFit="0" vertical="bottom" wrapText="0"/>
    </xf>
    <xf borderId="13" fillId="28" fontId="34" numFmtId="0" xfId="0" applyAlignment="1" applyBorder="1" applyFont="1">
      <alignment horizontal="center" shrinkToFit="0" vertical="center" wrapText="0"/>
    </xf>
    <xf borderId="7" fillId="4" fontId="36" numFmtId="0" xfId="0" applyAlignment="1" applyBorder="1" applyFont="1">
      <alignment horizontal="center" shrinkToFit="0" vertical="bottom" wrapText="0"/>
    </xf>
    <xf borderId="13" fillId="21" fontId="34" numFmtId="0" xfId="0" applyAlignment="1" applyBorder="1" applyFont="1">
      <alignment horizontal="center" shrinkToFit="0" vertical="bottom" wrapText="0"/>
    </xf>
    <xf borderId="0" fillId="0" fontId="35" numFmtId="0" xfId="0" applyAlignment="1" applyFont="1">
      <alignment horizontal="center" shrinkToFit="0" vertical="bottom" wrapText="0"/>
    </xf>
    <xf borderId="7" fillId="10" fontId="36" numFmtId="0" xfId="0" applyAlignment="1" applyBorder="1" applyFont="1">
      <alignment horizontal="center" shrinkToFit="0" vertical="bottom" wrapText="0"/>
    </xf>
    <xf borderId="7" fillId="31" fontId="36" numFmtId="4" xfId="0" applyAlignment="1" applyBorder="1" applyFill="1" applyFont="1" applyNumberFormat="1">
      <alignment horizontal="center" shrinkToFit="0" vertical="bottom" wrapText="0"/>
    </xf>
    <xf borderId="0" fillId="0" fontId="36" numFmtId="0" xfId="0" applyAlignment="1" applyFont="1">
      <alignment horizontal="left" shrinkToFit="0" vertical="bottom" wrapText="0"/>
    </xf>
    <xf borderId="7" fillId="19" fontId="36" numFmtId="0" xfId="0" applyAlignment="1" applyBorder="1" applyFont="1">
      <alignment horizontal="center" shrinkToFit="0" vertical="bottom" wrapText="0"/>
    </xf>
    <xf borderId="7" fillId="26" fontId="36" numFmtId="4" xfId="0" applyAlignment="1" applyBorder="1" applyFont="1" applyNumberFormat="1">
      <alignment horizontal="center" shrinkToFit="0" vertical="bottom" wrapText="0"/>
    </xf>
    <xf borderId="7" fillId="22" fontId="36" numFmtId="0" xfId="0" applyAlignment="1" applyBorder="1" applyFont="1">
      <alignment horizontal="center" shrinkToFit="0" vertical="bottom" wrapText="0"/>
    </xf>
    <xf borderId="7" fillId="15" fontId="36" numFmtId="4" xfId="0" applyAlignment="1" applyBorder="1" applyFont="1" applyNumberFormat="1">
      <alignment horizontal="center" shrinkToFit="0" vertical="bottom" wrapText="0"/>
    </xf>
    <xf borderId="13" fillId="24" fontId="49" numFmtId="0" xfId="0" applyAlignment="1" applyBorder="1" applyFont="1">
      <alignment horizontal="center" shrinkToFit="0" vertical="bottom" wrapText="0"/>
    </xf>
    <xf borderId="13" fillId="25" fontId="49" numFmtId="0" xfId="0" applyAlignment="1" applyBorder="1" applyFont="1">
      <alignment horizontal="center" shrinkToFit="0" vertical="bottom" wrapText="0"/>
    </xf>
    <xf borderId="0" fillId="0" fontId="49" numFmtId="0" xfId="0" applyAlignment="1" applyFont="1">
      <alignment horizontal="center" shrinkToFit="0" vertical="bottom" wrapText="0"/>
    </xf>
    <xf borderId="7" fillId="28" fontId="38" numFmtId="0" xfId="0" applyAlignment="1" applyBorder="1" applyFont="1">
      <alignment horizontal="center" shrinkToFit="0" vertical="center" wrapText="0"/>
    </xf>
    <xf borderId="7" fillId="21" fontId="47" numFmtId="0" xfId="0" applyAlignment="1" applyBorder="1" applyFont="1">
      <alignment horizontal="center" shrinkToFit="0" vertical="bottom" wrapText="0"/>
    </xf>
    <xf borderId="7" fillId="21" fontId="48" numFmtId="0" xfId="0" applyAlignment="1" applyBorder="1" applyFont="1">
      <alignment horizontal="center" shrinkToFit="0" vertical="bottom" wrapText="0"/>
    </xf>
    <xf borderId="13" fillId="21" fontId="50" numFmtId="0" xfId="0" applyAlignment="1" applyBorder="1" applyFont="1">
      <alignment horizontal="center" shrinkToFit="0" vertical="center" wrapText="0"/>
    </xf>
    <xf borderId="7" fillId="21" fontId="51" numFmtId="0" xfId="0" applyAlignment="1" applyBorder="1" applyFont="1">
      <alignment horizontal="center" shrinkToFit="0" vertical="bottom" wrapText="0"/>
    </xf>
    <xf borderId="7" fillId="21" fontId="51" numFmtId="0" xfId="0" applyAlignment="1" applyBorder="1" applyFont="1">
      <alignment horizontal="center" shrinkToFit="0" vertical="center" wrapText="0"/>
    </xf>
    <xf borderId="7" fillId="21" fontId="50" numFmtId="0" xfId="0" applyAlignment="1" applyBorder="1" applyFont="1">
      <alignment horizontal="center" shrinkToFit="0" vertical="center" wrapText="0"/>
    </xf>
    <xf borderId="7" fillId="30" fontId="36" numFmtId="0" xfId="0" applyAlignment="1" applyBorder="1" applyFont="1">
      <alignment horizontal="center" shrinkToFit="0" vertical="bottom" wrapText="0"/>
    </xf>
    <xf borderId="7" fillId="0" fontId="30" numFmtId="167" xfId="0" applyAlignment="1" applyBorder="1" applyFont="1" applyNumberFormat="1">
      <alignment horizontal="center" shrinkToFit="0" vertical="bottom" wrapText="0"/>
    </xf>
    <xf borderId="13" fillId="3" fontId="36" numFmtId="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14">
    <dxf>
      <font>
        <b/>
        <color rgb="FF000000"/>
        <name val="Arial"/>
      </font>
      <fill>
        <patternFill patternType="solid">
          <fgColor rgb="FFB7B7B7"/>
          <bgColor rgb="FFB7B7B7"/>
        </patternFill>
      </fill>
      <border/>
    </dxf>
    <dxf>
      <font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  <name val="Arial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  <name val="Arial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  <name val="Arial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  <name val="Arial"/>
      </font>
      <fill>
        <patternFill patternType="solid">
          <fgColor rgb="FF00FFFF"/>
          <bgColor rgb="FF00FFFF"/>
        </patternFill>
      </fill>
      <border/>
    </dxf>
    <dxf>
      <font>
        <color rgb="FF000000"/>
        <name val="Arial"/>
      </font>
      <fill>
        <patternFill patternType="solid">
          <fgColor rgb="FFFF0000"/>
          <bgColor rgb="FFFF0000"/>
        </patternFill>
      </fill>
      <border/>
    </dxf>
    <dxf>
      <font>
        <color rgb="FF000000"/>
        <name val="Arial"/>
      </font>
      <fill>
        <patternFill patternType="solid">
          <fgColor rgb="FF3C78D8"/>
          <bgColor rgb="FF3C78D8"/>
        </patternFill>
      </fill>
      <border/>
    </dxf>
    <dxf>
      <font>
        <color rgb="FF000000"/>
        <name val="Arial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  <name val="Arial"/>
      </font>
      <fill>
        <patternFill patternType="solid">
          <fgColor rgb="FF9900FF"/>
          <bgColor rgb="FF9900FF"/>
        </patternFill>
      </fill>
      <border/>
    </dxf>
    <dxf>
      <font>
        <b/>
        <color rgb="FF000000"/>
        <name val="Arial"/>
      </font>
      <fill>
        <patternFill patternType="solid">
          <fgColor rgb="FFFF00FF"/>
          <bgColor rgb="FFFF00FF"/>
        </patternFill>
      </fill>
      <border/>
    </dxf>
    <dxf>
      <font>
        <i/>
        <strike/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0.86"/>
    <col customWidth="1" min="11" max="11" width="7.57"/>
    <col customWidth="1" min="12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8.0</v>
      </c>
      <c r="Y1" s="10" t="s">
        <v>6</v>
      </c>
      <c r="Z1" s="5"/>
      <c r="AA1" s="11" t="s">
        <v>7</v>
      </c>
      <c r="AB1" s="7"/>
      <c r="AC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9">
        <v>43436.0</v>
      </c>
      <c r="L2" s="20">
        <v>43438.0</v>
      </c>
      <c r="M2" s="20">
        <v>43440.0</v>
      </c>
      <c r="N2" s="19">
        <v>43443.0</v>
      </c>
      <c r="O2" s="20">
        <v>43445.0</v>
      </c>
      <c r="P2" s="20">
        <v>43447.0</v>
      </c>
      <c r="Q2" s="19">
        <v>43450.0</v>
      </c>
      <c r="R2" s="20">
        <v>43452.0</v>
      </c>
      <c r="S2" s="20">
        <v>43454.0</v>
      </c>
      <c r="T2" s="19">
        <v>43457.0</v>
      </c>
      <c r="U2" s="20">
        <v>43459.0</v>
      </c>
      <c r="V2" s="20">
        <v>43461.0</v>
      </c>
      <c r="W2" s="19">
        <v>43464.0</v>
      </c>
      <c r="X2" s="21" t="s">
        <v>16</v>
      </c>
      <c r="Y2" s="22"/>
      <c r="Z2" s="22"/>
      <c r="AA2" s="23"/>
      <c r="AB2" s="24"/>
      <c r="AC2" s="22"/>
    </row>
    <row r="3" ht="15.75" customHeight="1">
      <c r="A3" s="25">
        <f t="shared" ref="A3:A37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5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18</v>
      </c>
      <c r="E3" s="28" t="s">
        <v>19</v>
      </c>
      <c r="F3" s="28"/>
      <c r="G3" s="29" t="s">
        <v>20</v>
      </c>
      <c r="H3" s="30" t="s">
        <v>21</v>
      </c>
      <c r="I3" s="31" t="s">
        <v>22</v>
      </c>
      <c r="J3" s="32" t="s">
        <v>23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3" t="str">
        <f t="shared" ref="X3:X7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)/$X$1</f>
        <v>#REF!</v>
      </c>
      <c r="Y3" s="34" t="s">
        <v>21</v>
      </c>
      <c r="Z3" s="35" t="s">
        <v>25</v>
      </c>
      <c r="AA3" s="36"/>
      <c r="AB3" s="36"/>
      <c r="AC3" s="37"/>
    </row>
    <row r="4" ht="15.75" customHeight="1">
      <c r="A4" s="25">
        <f t="shared" si="1"/>
        <v>1</v>
      </c>
      <c r="B4" s="25">
        <f t="shared" si="2"/>
        <v>3</v>
      </c>
      <c r="C4" s="26" t="s">
        <v>26</v>
      </c>
      <c r="D4" s="27" t="s">
        <v>27</v>
      </c>
      <c r="E4" s="28" t="s">
        <v>28</v>
      </c>
      <c r="F4" s="28" t="s">
        <v>29</v>
      </c>
      <c r="G4" s="29" t="s">
        <v>20</v>
      </c>
      <c r="H4" s="30" t="s">
        <v>30</v>
      </c>
      <c r="I4" s="31" t="s">
        <v>22</v>
      </c>
      <c r="J4" s="32" t="s">
        <v>23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0" t="s">
        <v>30</v>
      </c>
      <c r="W4" s="30" t="s">
        <v>30</v>
      </c>
      <c r="X4" s="33" t="str">
        <f t="shared" si="3"/>
        <v>#REF!</v>
      </c>
      <c r="Y4" s="30" t="s">
        <v>33</v>
      </c>
      <c r="Z4" s="38" t="s">
        <v>34</v>
      </c>
      <c r="AA4" s="4"/>
      <c r="AB4" s="4"/>
      <c r="AC4" s="5"/>
    </row>
    <row r="5" ht="15.75" customHeight="1">
      <c r="A5" s="25">
        <f t="shared" si="1"/>
        <v>1</v>
      </c>
      <c r="B5" s="25">
        <f t="shared" si="2"/>
        <v>15</v>
      </c>
      <c r="C5" s="26" t="s">
        <v>31</v>
      </c>
      <c r="D5" s="27" t="s">
        <v>35</v>
      </c>
      <c r="E5" s="28" t="s">
        <v>19</v>
      </c>
      <c r="F5" s="28"/>
      <c r="G5" s="29" t="s">
        <v>20</v>
      </c>
      <c r="H5" s="30" t="s">
        <v>30</v>
      </c>
      <c r="I5" s="31" t="s">
        <v>22</v>
      </c>
      <c r="J5" s="32" t="s">
        <v>23</v>
      </c>
      <c r="K5" s="30" t="s">
        <v>30</v>
      </c>
      <c r="L5" s="30" t="s">
        <v>30</v>
      </c>
      <c r="M5" s="30" t="s">
        <v>21</v>
      </c>
      <c r="N5" s="30" t="s">
        <v>30</v>
      </c>
      <c r="O5" s="30" t="s">
        <v>30</v>
      </c>
      <c r="P5" s="30" t="s">
        <v>30</v>
      </c>
      <c r="Q5" s="30" t="s">
        <v>30</v>
      </c>
      <c r="R5" s="30" t="s">
        <v>30</v>
      </c>
      <c r="S5" s="30" t="s">
        <v>30</v>
      </c>
      <c r="T5" s="30" t="s">
        <v>30</v>
      </c>
      <c r="U5" s="30" t="s">
        <v>30</v>
      </c>
      <c r="V5" s="30" t="s">
        <v>30</v>
      </c>
      <c r="W5" s="30" t="s">
        <v>30</v>
      </c>
      <c r="X5" s="33" t="str">
        <f t="shared" si="3"/>
        <v>#REF!</v>
      </c>
      <c r="Y5" s="30" t="s">
        <v>24</v>
      </c>
      <c r="Z5" s="38" t="s">
        <v>36</v>
      </c>
      <c r="AA5" s="4"/>
      <c r="AB5" s="4"/>
      <c r="AC5" s="5"/>
    </row>
    <row r="6" ht="15.75" customHeight="1">
      <c r="A6" s="25">
        <f t="shared" si="1"/>
        <v>1</v>
      </c>
      <c r="B6" s="25">
        <f t="shared" si="2"/>
        <v>15</v>
      </c>
      <c r="C6" s="26" t="s">
        <v>31</v>
      </c>
      <c r="D6" s="27" t="s">
        <v>32</v>
      </c>
      <c r="E6" s="28" t="s">
        <v>19</v>
      </c>
      <c r="F6" s="28"/>
      <c r="G6" s="29" t="s">
        <v>20</v>
      </c>
      <c r="H6" s="30" t="s">
        <v>30</v>
      </c>
      <c r="I6" s="31" t="s">
        <v>22</v>
      </c>
      <c r="J6" s="32" t="s">
        <v>23</v>
      </c>
      <c r="K6" s="30" t="s">
        <v>30</v>
      </c>
      <c r="L6" s="30" t="s">
        <v>30</v>
      </c>
      <c r="M6" s="30" t="s">
        <v>30</v>
      </c>
      <c r="N6" s="30" t="s">
        <v>30</v>
      </c>
      <c r="O6" s="30" t="s">
        <v>30</v>
      </c>
      <c r="P6" s="30" t="s">
        <v>30</v>
      </c>
      <c r="Q6" s="30" t="s">
        <v>30</v>
      </c>
      <c r="R6" s="30" t="s">
        <v>30</v>
      </c>
      <c r="S6" s="30" t="s">
        <v>30</v>
      </c>
      <c r="T6" s="30" t="s">
        <v>30</v>
      </c>
      <c r="U6" s="30" t="s">
        <v>30</v>
      </c>
      <c r="V6" s="30" t="s">
        <v>30</v>
      </c>
      <c r="W6" s="30" t="s">
        <v>30</v>
      </c>
      <c r="X6" s="33" t="str">
        <f t="shared" si="3"/>
        <v>#REF!</v>
      </c>
      <c r="Y6" s="30" t="s">
        <v>37</v>
      </c>
      <c r="Z6" s="38" t="s">
        <v>38</v>
      </c>
      <c r="AA6" s="4"/>
      <c r="AB6" s="4"/>
      <c r="AC6" s="5"/>
    </row>
    <row r="7" ht="15.75" customHeight="1">
      <c r="A7" s="25">
        <f t="shared" si="1"/>
        <v>2</v>
      </c>
      <c r="B7" s="25">
        <f t="shared" si="2"/>
        <v>4</v>
      </c>
      <c r="C7" s="26" t="s">
        <v>39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/>
      <c r="L7" s="30"/>
      <c r="M7" s="39"/>
      <c r="N7" s="30"/>
      <c r="O7" s="30"/>
      <c r="P7" s="30"/>
      <c r="Q7" s="30"/>
      <c r="R7" s="30"/>
      <c r="S7" s="30"/>
      <c r="T7" s="30"/>
      <c r="U7" s="30"/>
      <c r="V7" s="30"/>
      <c r="W7" s="30"/>
      <c r="X7" s="33" t="str">
        <f t="shared" si="3"/>
        <v>#REF!</v>
      </c>
      <c r="Y7" s="30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47</v>
      </c>
      <c r="E8" s="28" t="s">
        <v>41</v>
      </c>
      <c r="F8" s="28" t="s">
        <v>48</v>
      </c>
      <c r="G8" s="29" t="s">
        <v>49</v>
      </c>
      <c r="H8" s="30" t="s">
        <v>21</v>
      </c>
      <c r="I8" s="31" t="s">
        <v>50</v>
      </c>
      <c r="J8" s="32" t="s">
        <v>51</v>
      </c>
      <c r="K8" s="30"/>
      <c r="L8" s="30"/>
      <c r="M8" s="41"/>
      <c r="N8" s="30"/>
      <c r="O8" s="30"/>
      <c r="P8" s="30"/>
      <c r="Q8" s="30"/>
      <c r="R8" s="30"/>
      <c r="S8" s="30"/>
      <c r="T8" s="30"/>
      <c r="U8" s="30"/>
      <c r="V8" s="30"/>
      <c r="W8" s="30"/>
      <c r="X8" s="33" t="str">
        <f t="shared" ref="X8:X9" si="4">SUM( (COUNTIF(K8,"A") + (COUNTIF(K8,"T")/2) + (COUNTIF(K8,"O")/2) )+ (COUNTIF(M8,"A") + (COUNTIF(M8,"T")/2) + (COUNTIF(M8,"O")/2) )+ (COUNTIF(#REF!,"A") + (COUNTIF(#REF!,"T")/2) + (COUNTIF(#REF!,"O")/2) )+ (COUNTIF(N8,"A") + (COUNTIF(N8,"T")/2) + (COUNTIF(N8,"O")/2) )+ (COUNTIF(O8,"A") + (COUNTIF(O8,"T")/2) + (COUNTIF(O8,"O")/2) )+ (COUNTIF(P8,"A") + (COUNTIF(P8,"T")/2) + (COUNTIF(P8,"O")/2) )+ (COUNTIF(Q8,"A") + (COUNTIF(Q8,"T")/2) + (COUNTIF(Q8,"O")/2) )+ (COUNTIF(R8,"A") + (COUNTIF(R8,"T")/2) + (COUNTIF(R8,"O")/2) )+ (COUNTIF(S8,"A") + (COUNTIF(S8,"T")/2) + (COUNTIF(S8,"O")/2) )+ (COUNTIF(#REF!,"A") + (COUNTIF(#REF!,"T")/2) + (COUNTIF(#REF!,"O")/2) )+ (COUNTIF(T8,"A") + (COUNTIF(T8,"T")/2) + (COUNTIF(T8,"O")/2) )+ (COUNTIF(U8,"A") + (COUNTIF(U8,"T")/2) + (COUNTIF(U8,"O")/2) )+ (COUNTIF(V8,"A") + (COUNTIF(V8,"T")/2) + (COUNTIF(V8,"O")/2) ) )/$X$1</f>
        <v>#REF!</v>
      </c>
      <c r="Y8" s="30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8</v>
      </c>
      <c r="C9" s="26" t="s">
        <v>54</v>
      </c>
      <c r="D9" s="27" t="s">
        <v>55</v>
      </c>
      <c r="E9" s="28" t="s">
        <v>41</v>
      </c>
      <c r="F9" s="28" t="s">
        <v>56</v>
      </c>
      <c r="G9" s="29" t="s">
        <v>49</v>
      </c>
      <c r="H9" s="30" t="s">
        <v>21</v>
      </c>
      <c r="I9" s="31" t="s">
        <v>50</v>
      </c>
      <c r="J9" s="32" t="s">
        <v>57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3" t="str">
        <f t="shared" si="4"/>
        <v>#REF!</v>
      </c>
      <c r="Y9" s="30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7</v>
      </c>
      <c r="C10" s="26" t="s">
        <v>46</v>
      </c>
      <c r="D10" s="27" t="s">
        <v>60</v>
      </c>
      <c r="E10" s="28" t="s">
        <v>61</v>
      </c>
      <c r="F10" s="28" t="s">
        <v>56</v>
      </c>
      <c r="G10" s="29" t="s">
        <v>62</v>
      </c>
      <c r="H10" s="30" t="s">
        <v>21</v>
      </c>
      <c r="I10" s="31" t="s">
        <v>50</v>
      </c>
      <c r="J10" s="32" t="s">
        <v>63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3" t="str">
        <f t="shared" ref="X10:X16" si="5">SUM( (COUNTIF(K10,"A") + (COUNTIF(K10,"T")/2) + (COUNTIF(K10,"O")/2) )+ (COUNTIF(L10,"A") + (COUNTIF(L10,"T")/2) + (COUNTIF(L10,"O")/2) )+ (COUNTIF(M10,"A") + (COUNTIF(M10,"T")/2) + (COUNTIF(M10,"O")/2) )+ (COUNTIF(N10,"A") + (COUNTIF(N10,"T")/2) + (COUNTIF(N10,"O")/2) )+ (COUNTIF(O10,"A") + (COUNTIF(O10,"T")/2) + (COUNTIF(O10,"O")/2) )+ (COUNTIF(P10,"A") + (COUNTIF(P10,"T")/2) + (COUNTIF(P10,"O")/2) )+ (COUNTIF(Q10,"A") + (COUNTIF(Q10,"T")/2) + (COUNTIF(Q10,"O")/2) )+ (COUNTIF(R10,"A") + (COUNTIF(R10,"T")/2) + (COUNTIF(R10,"O")/2) )+ (COUNTIF(S10,"A") + (COUNTIF(S10,"T")/2) + (COUNTIF(S10,"O")/2) )+ (COUNTIF(#REF!,"A") + (COUNTIF(#REF!,"T")/2) + (COUNTIF(#REF!,"O")/2) )+ (COUNTIF(T10,"A") + (COUNTIF(T10,"T")/2) + (COUNTIF(T10,"O")/2) )+ (COUNTIF(U10,"A") + (COUNTIF(U10,"T")/2) + (COUNTIF(U10,"O")/2) )+ (COUNTIF(V10,"A") + (COUNTIF(V10,"T")/2) + (COUNTIF(V10,"O")/2) ) )/$X$1</f>
        <v>#REF!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8</v>
      </c>
      <c r="C11" s="26" t="s">
        <v>54</v>
      </c>
      <c r="D11" s="27" t="s">
        <v>67</v>
      </c>
      <c r="E11" s="28" t="s">
        <v>61</v>
      </c>
      <c r="F11" s="28" t="s">
        <v>19</v>
      </c>
      <c r="G11" s="29" t="s">
        <v>20</v>
      </c>
      <c r="H11" s="30" t="s">
        <v>21</v>
      </c>
      <c r="I11" s="31" t="s">
        <v>50</v>
      </c>
      <c r="J11" s="32" t="s">
        <v>68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3" t="str">
        <f t="shared" si="5"/>
        <v>#REF!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64</v>
      </c>
      <c r="D12" s="27" t="s">
        <v>69</v>
      </c>
      <c r="E12" s="28" t="s">
        <v>19</v>
      </c>
      <c r="F12" s="28" t="s">
        <v>70</v>
      </c>
      <c r="G12" s="29" t="s">
        <v>71</v>
      </c>
      <c r="H12" s="30" t="s">
        <v>21</v>
      </c>
      <c r="I12" s="31" t="s">
        <v>50</v>
      </c>
      <c r="J12" s="32" t="s">
        <v>68</v>
      </c>
      <c r="K12" s="30"/>
      <c r="L12" s="42" t="s">
        <v>65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3" t="str">
        <f t="shared" si="5"/>
        <v>#REF!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9</v>
      </c>
      <c r="C13" s="26" t="s">
        <v>64</v>
      </c>
      <c r="D13" s="27" t="s">
        <v>75</v>
      </c>
      <c r="E13" s="28" t="s">
        <v>70</v>
      </c>
      <c r="F13" s="28" t="s">
        <v>76</v>
      </c>
      <c r="G13" s="29" t="s">
        <v>71</v>
      </c>
      <c r="H13" s="30" t="s">
        <v>21</v>
      </c>
      <c r="I13" s="31" t="s">
        <v>50</v>
      </c>
      <c r="J13" s="32" t="s">
        <v>68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3" t="str">
        <f t="shared" si="5"/>
        <v>#REF!</v>
      </c>
      <c r="Y13" s="45" t="s">
        <v>77</v>
      </c>
      <c r="Z13" s="46">
        <f>COUNTIF(I3:I100,"1° P - 1°M")</f>
        <v>18</v>
      </c>
      <c r="AA13" s="44"/>
      <c r="AB13" s="45" t="s">
        <v>78</v>
      </c>
      <c r="AC13" s="46">
        <f>COUNTIF(C3:C100,"Rct.")</f>
        <v>10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80</v>
      </c>
      <c r="E14" s="28" t="s">
        <v>56</v>
      </c>
      <c r="F14" s="28" t="s">
        <v>19</v>
      </c>
      <c r="G14" s="29" t="s">
        <v>71</v>
      </c>
      <c r="H14" s="30" t="s">
        <v>21</v>
      </c>
      <c r="I14" s="31" t="s">
        <v>50</v>
      </c>
      <c r="J14" s="32" t="s">
        <v>68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33" t="str">
        <f t="shared" si="5"/>
        <v>#REF!</v>
      </c>
      <c r="Y14" s="45" t="s">
        <v>81</v>
      </c>
      <c r="Z14" s="46">
        <f>COUNTIF(I3:I100,"1° P - 2°M")</f>
        <v>14</v>
      </c>
      <c r="AA14" s="44"/>
      <c r="AB14" s="45" t="s">
        <v>82</v>
      </c>
      <c r="AC14" s="46">
        <f>COUNTIF(C3:C100,"Inf.")</f>
        <v>17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64</v>
      </c>
      <c r="D15" s="27" t="s">
        <v>83</v>
      </c>
      <c r="E15" s="28" t="s">
        <v>76</v>
      </c>
      <c r="F15" s="28" t="s">
        <v>70</v>
      </c>
      <c r="G15" s="29" t="s">
        <v>49</v>
      </c>
      <c r="H15" s="30" t="s">
        <v>21</v>
      </c>
      <c r="I15" s="31" t="s">
        <v>50</v>
      </c>
      <c r="J15" s="32" t="s">
        <v>85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3" t="str">
        <f t="shared" si="5"/>
        <v>#REF!</v>
      </c>
      <c r="Y15" s="45" t="s">
        <v>86</v>
      </c>
      <c r="Z15" s="46">
        <f>COUNTIF(I3:I100,"1° PP - 1°Pa")</f>
        <v>11</v>
      </c>
      <c r="AA15" s="44"/>
      <c r="AB15" s="45" t="s">
        <v>87</v>
      </c>
      <c r="AC15" s="46">
        <f>COUNTIF(C3:C100,"Dis.")</f>
        <v>13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88</v>
      </c>
      <c r="E16" s="28" t="s">
        <v>41</v>
      </c>
      <c r="F16" s="28" t="s">
        <v>19</v>
      </c>
      <c r="G16" s="29" t="s">
        <v>62</v>
      </c>
      <c r="H16" s="30" t="s">
        <v>21</v>
      </c>
      <c r="I16" s="31" t="s">
        <v>50</v>
      </c>
      <c r="J16" s="32" t="s">
        <v>85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3" t="str">
        <f t="shared" si="5"/>
        <v>#REF!</v>
      </c>
      <c r="Y16" s="45" t="s">
        <v>89</v>
      </c>
      <c r="Z16" s="46">
        <f>COUNTIF(I3:I100,"Espectro")</f>
        <v>3</v>
      </c>
      <c r="AA16" s="44"/>
      <c r="AB16" s="45" t="s">
        <v>90</v>
      </c>
      <c r="AC16" s="46">
        <f>COUNTIF(C3:C100,"Cbo.")</f>
        <v>12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91</v>
      </c>
      <c r="E17" s="28" t="s">
        <v>56</v>
      </c>
      <c r="F17" s="28" t="s">
        <v>19</v>
      </c>
      <c r="G17" s="29" t="s">
        <v>49</v>
      </c>
      <c r="H17" s="30" t="s">
        <v>21</v>
      </c>
      <c r="I17" s="31" t="s">
        <v>50</v>
      </c>
      <c r="J17" s="32" t="s">
        <v>85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3" t="str">
        <f>SUM( (COUNTIF(K17,"A") + (COUNTIF(K17,"T")/2) + (COUNTIF(K17,"O")/2) )+ (COUNTIF(M17,"A") + (COUNTIF(M17,"T")/2) + (COUNTIF(M17,"O")/2) )+ (COUNTIF(#REF!,"A") + (COUNTIF(#REF!,"T")/2) + (COUNTIF(#REF!,"O")/2) )+ (COUNTIF(N17,"A") + (COUNTIF(N17,"T")/2) + (COUNTIF(N17,"O")/2) )+ (COUNTIF(O17,"A") + (COUNTIF(O17,"T")/2) + (COUNTIF(O17,"O")/2) )+ (COUNTIF(P17,"A") + (COUNTIF(P17,"T")/2) + (COUNTIF(P17,"O")/2) )+ (COUNTIF(Q17,"A") + (COUNTIF(Q17,"T")/2) + (COUNTIF(Q17,"O")/2) )+ (COUNTIF(R17,"A") + (COUNTIF(R17,"T")/2) + (COUNTIF(R17,"O")/2) )+ (COUNTIF(S17,"A") + (COUNTIF(S17,"T")/2) + (COUNTIF(S17,"O")/2) )+ (COUNTIF(#REF!,"A") + (COUNTIF(#REF!,"T")/2) + (COUNTIF(#REF!,"O")/2) )+ (COUNTIF(T17,"A") + (COUNTIF(T17,"T")/2) + (COUNTIF(T17,"O")/2) )+ (COUNTIF(U17,"A") + (COUNTIF(U17,"T")/2) + (COUNTIF(U17,"O")/2) )+ (COUNTIF(V17,"A") + (COUNTIF(V17,"T")/2) + (COUNTIF(V17,"O")/2) ) )/$X$1</f>
        <v>#REF!</v>
      </c>
      <c r="Y17" s="45" t="s">
        <v>92</v>
      </c>
      <c r="Z17" s="46">
        <f>COUNTIF(I3:I100,"Caballeria")</f>
        <v>10</v>
      </c>
      <c r="AA17" s="44"/>
      <c r="AB17" s="45" t="s">
        <v>93</v>
      </c>
      <c r="AC17" s="46">
        <f>COUNTIF(C3:C100,"Cbo1.")</f>
        <v>8</v>
      </c>
    </row>
    <row r="18" ht="15.75" customHeight="1">
      <c r="A18" s="25">
        <f t="shared" si="1"/>
        <v>3</v>
      </c>
      <c r="B18" s="25">
        <f t="shared" si="2"/>
        <v>10</v>
      </c>
      <c r="C18" s="26" t="s">
        <v>84</v>
      </c>
      <c r="D18" s="27" t="s">
        <v>94</v>
      </c>
      <c r="E18" s="28" t="s">
        <v>19</v>
      </c>
      <c r="F18" s="28" t="s">
        <v>41</v>
      </c>
      <c r="G18" s="29" t="s">
        <v>49</v>
      </c>
      <c r="H18" s="42" t="s">
        <v>21</v>
      </c>
      <c r="I18" s="31" t="s">
        <v>50</v>
      </c>
      <c r="J18" s="32" t="s">
        <v>85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33" t="str">
        <f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)/$X$1</f>
        <v>#REF!</v>
      </c>
      <c r="Y18" s="45" t="s">
        <v>95</v>
      </c>
      <c r="Z18" s="46">
        <f>COUNTIF(I3:I100,"FAZR")</f>
        <v>4</v>
      </c>
      <c r="AA18" s="44"/>
      <c r="AB18" s="45" t="s">
        <v>96</v>
      </c>
      <c r="AC18" s="46">
        <f>COUNTIF(C3:C100,"Sgt.")</f>
        <v>6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79</v>
      </c>
      <c r="D19" s="27" t="s">
        <v>97</v>
      </c>
      <c r="E19" s="28" t="s">
        <v>19</v>
      </c>
      <c r="F19" s="28"/>
      <c r="G19" s="29" t="s">
        <v>71</v>
      </c>
      <c r="H19" s="30" t="s">
        <v>21</v>
      </c>
      <c r="I19" s="31" t="s">
        <v>50</v>
      </c>
      <c r="J19" s="32" t="s">
        <v>85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3" t="str">
        <f>SUM( (COUNTIF(K19,"A") + (COUNTIF(K19,"T")/2) + (COUNTIF(K19,"O")/2) )+ (COUNTIF(M19,"A") + (COUNTIF(M19,"T")/2) + (COUNTIF(M19,"O")/2) )+ (COUNTIF(#REF!,"A") + (COUNTIF(#REF!,"T")/2) + (COUNTIF(#REF!,"O")/2) )+ (COUNTIF(N19,"A") + (COUNTIF(N19,"T")/2) + (COUNTIF(N19,"O")/2) )+ (COUNTIF(O19,"A") + (COUNTIF(O19,"T")/2) + (COUNTIF(O19,"O")/2) )+ (COUNTIF(P19,"A") + (COUNTIF(P19,"T")/2) + (COUNTIF(P19,"O")/2) )+ (COUNTIF(Q19,"A") + (COUNTIF(Q19,"T")/2) + (COUNTIF(Q19,"O")/2) )+ (COUNTIF(R19,"A") + (COUNTIF(R19,"T")/2) + (COUNTIF(R19,"O")/2) )+ (COUNTIF(S19,"A") + (COUNTIF(S19,"T")/2) + (COUNTIF(S19,"O")/2) )+ (COUNTIF(#REF!,"A") + (COUNTIF(#REF!,"T")/2) + (COUNTIF(#REF!,"O")/2) )+ (COUNTIF(T19,"A") + (COUNTIF(T19,"T")/2) + (COUNTIF(T19,"O")/2) )+ (COUNTIF(U19,"A") + (COUNTIF(U19,"T")/2) + (COUNTIF(U19,"O")/2) )+ (COUNTIF(V19,"A") + (COUNTIF(V19,"T")/2) + (COUNTIF(V19,"O")/2) ) )/$X$1</f>
        <v>#REF!</v>
      </c>
      <c r="Y19" s="45" t="s">
        <v>98</v>
      </c>
      <c r="Z19" s="46">
        <v>6.0</v>
      </c>
      <c r="AA19" s="44"/>
      <c r="AB19" s="45" t="s">
        <v>99</v>
      </c>
      <c r="AC19" s="46">
        <f>COUNTIF(C3:C100,"Sgt1.")</f>
        <v>1</v>
      </c>
    </row>
    <row r="20" ht="15.75" customHeight="1">
      <c r="A20" s="25">
        <f t="shared" si="1"/>
        <v>3</v>
      </c>
      <c r="B20" s="25">
        <f t="shared" si="2"/>
        <v>7</v>
      </c>
      <c r="C20" s="26" t="s">
        <v>46</v>
      </c>
      <c r="D20" s="27" t="s">
        <v>100</v>
      </c>
      <c r="E20" s="28" t="s">
        <v>41</v>
      </c>
      <c r="F20" s="28" t="s">
        <v>28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0" t="s">
        <v>30</v>
      </c>
      <c r="X20" s="33" t="str">
        <f t="shared" ref="X20:X68" si="6">SUM( (COUNTIF(K20,"A") + (COUNTIF(K20,"T")/2) + (COUNTIF(K20,"O")/2) )+ (COUNTIF(L20,"A") + (COUNTIF(L20,"T")/2) + (COUNTIF(L20,"O")/2) )+ (COUNTIF(M20,"A") + (COUNTIF(M20,"T")/2) + (COUNTIF(M20,"O")/2) )+ (COUNTIF(N20,"A") + (COUNTIF(N20,"T")/2) + (COUNTIF(N20,"O")/2) )+ (COUNTIF(O20,"A") + (COUNTIF(O20,"T")/2) + (COUNTIF(O20,"O")/2) )+ (COUNTIF(P20,"A") + (COUNTIF(P20,"T")/2) + (COUNTIF(P20,"O")/2) )+ (COUNTIF(Q20,"A") + (COUNTIF(Q20,"T")/2) + (COUNTIF(Q20,"O")/2) )+ (COUNTIF(R20,"A") + (COUNTIF(R20,"T")/2) + (COUNTIF(R20,"O")/2) )+ (COUNTIF(S20,"A") + (COUNTIF(S20,"T")/2) + (COUNTIF(S20,"O")/2) )+ (COUNTIF(#REF!,"A") + (COUNTIF(#REF!,"T")/2) + (COUNTIF(#REF!,"O")/2) )+ (COUNTIF(T20,"A") + (COUNTIF(T20,"T")/2) + (COUNTIF(T20,"O")/2) )+ (COUNTIF(U20,"A") + (COUNTIF(U20,"T")/2) + (COUNTIF(U20,"O")/2) )+ (COUNTIF(V20,"A") + (COUNTIF(V20,"T")/2) + (COUNTIF(V20,"O")/2) ) )/$X$1</f>
        <v>#REF!</v>
      </c>
      <c r="Y20" s="45" t="s">
        <v>101</v>
      </c>
      <c r="Z20" s="46">
        <f>COUNTIF(H3:H100,"R")</f>
        <v>28</v>
      </c>
      <c r="AA20" s="44"/>
      <c r="AB20" s="45" t="s">
        <v>102</v>
      </c>
      <c r="AC20" s="46">
        <f>COUNTIF(C3:C100,"SgtM.")</f>
        <v>1</v>
      </c>
    </row>
    <row r="21" ht="15.75" customHeight="1">
      <c r="A21" s="25">
        <f t="shared" si="1"/>
        <v>3</v>
      </c>
      <c r="B21" s="25">
        <f t="shared" si="2"/>
        <v>8</v>
      </c>
      <c r="C21" s="26" t="s">
        <v>54</v>
      </c>
      <c r="D21" s="27" t="s">
        <v>103</v>
      </c>
      <c r="E21" s="28" t="s">
        <v>70</v>
      </c>
      <c r="F21" s="28" t="s">
        <v>19</v>
      </c>
      <c r="G21" s="29" t="s">
        <v>20</v>
      </c>
      <c r="H21" s="30" t="s">
        <v>30</v>
      </c>
      <c r="I21" s="31" t="s">
        <v>50</v>
      </c>
      <c r="J21" s="32"/>
      <c r="K21" s="30" t="s">
        <v>30</v>
      </c>
      <c r="L21" s="30" t="s">
        <v>30</v>
      </c>
      <c r="M21" s="30" t="s">
        <v>30</v>
      </c>
      <c r="N21" s="30" t="s">
        <v>30</v>
      </c>
      <c r="O21" s="30" t="s">
        <v>30</v>
      </c>
      <c r="P21" s="30" t="s">
        <v>30</v>
      </c>
      <c r="Q21" s="30" t="s">
        <v>30</v>
      </c>
      <c r="R21" s="30" t="s">
        <v>30</v>
      </c>
      <c r="S21" s="30" t="s">
        <v>30</v>
      </c>
      <c r="T21" s="30" t="s">
        <v>30</v>
      </c>
      <c r="U21" s="30" t="s">
        <v>30</v>
      </c>
      <c r="V21" s="30" t="s">
        <v>30</v>
      </c>
      <c r="W21" s="30" t="s">
        <v>30</v>
      </c>
      <c r="X21" s="33" t="str">
        <f t="shared" si="6"/>
        <v>#REF!</v>
      </c>
      <c r="Y21" s="45" t="s">
        <v>38</v>
      </c>
      <c r="Z21" s="46">
        <f>COUNTIF(H3:H100,"L")</f>
        <v>0</v>
      </c>
      <c r="AA21" s="44"/>
      <c r="AB21" s="45" t="s">
        <v>104</v>
      </c>
      <c r="AC21" s="46">
        <f>COUNTIF(C3:C100,"Tte.")</f>
        <v>0</v>
      </c>
    </row>
    <row r="22" ht="15.75" customHeight="1">
      <c r="A22" s="25">
        <f t="shared" si="1"/>
        <v>3</v>
      </c>
      <c r="B22" s="25">
        <f t="shared" si="2"/>
        <v>8</v>
      </c>
      <c r="C22" s="26" t="s">
        <v>54</v>
      </c>
      <c r="D22" s="27" t="s">
        <v>105</v>
      </c>
      <c r="E22" s="28" t="s">
        <v>41</v>
      </c>
      <c r="F22" s="28" t="s">
        <v>56</v>
      </c>
      <c r="G22" s="29" t="s">
        <v>49</v>
      </c>
      <c r="H22" s="30" t="s">
        <v>30</v>
      </c>
      <c r="I22" s="31" t="s">
        <v>50</v>
      </c>
      <c r="J22" s="32"/>
      <c r="K22" s="30" t="s">
        <v>30</v>
      </c>
      <c r="L22" s="30" t="s">
        <v>30</v>
      </c>
      <c r="M22" s="30" t="s">
        <v>30</v>
      </c>
      <c r="N22" s="30" t="s">
        <v>30</v>
      </c>
      <c r="O22" s="30" t="s">
        <v>30</v>
      </c>
      <c r="P22" s="30" t="s">
        <v>30</v>
      </c>
      <c r="Q22" s="30" t="s">
        <v>30</v>
      </c>
      <c r="R22" s="30" t="s">
        <v>30</v>
      </c>
      <c r="S22" s="30" t="s">
        <v>30</v>
      </c>
      <c r="T22" s="30" t="s">
        <v>30</v>
      </c>
      <c r="U22" s="30" t="s">
        <v>30</v>
      </c>
      <c r="V22" s="30" t="s">
        <v>30</v>
      </c>
      <c r="W22" s="30" t="s">
        <v>30</v>
      </c>
      <c r="X22" s="33" t="str">
        <f t="shared" si="6"/>
        <v>#REF!</v>
      </c>
      <c r="Y22" s="45"/>
      <c r="Z22" s="46"/>
      <c r="AA22" s="44"/>
      <c r="AB22" s="45" t="s">
        <v>106</v>
      </c>
      <c r="AC22" s="46">
        <f>COUNTIF(C3:C100,"Alf.")</f>
        <v>1</v>
      </c>
    </row>
    <row r="23" ht="15.75" customHeight="1">
      <c r="A23" s="25">
        <f t="shared" si="1"/>
        <v>3</v>
      </c>
      <c r="B23" s="25">
        <f t="shared" si="2"/>
        <v>9</v>
      </c>
      <c r="C23" s="26" t="s">
        <v>64</v>
      </c>
      <c r="D23" s="27" t="s">
        <v>107</v>
      </c>
      <c r="E23" s="28" t="s">
        <v>70</v>
      </c>
      <c r="F23" s="28" t="s">
        <v>48</v>
      </c>
      <c r="G23" s="29" t="s">
        <v>20</v>
      </c>
      <c r="H23" s="30" t="s">
        <v>30</v>
      </c>
      <c r="I23" s="31" t="s">
        <v>50</v>
      </c>
      <c r="J23" s="32"/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30</v>
      </c>
      <c r="P23" s="30" t="s">
        <v>30</v>
      </c>
      <c r="Q23" s="30" t="s">
        <v>30</v>
      </c>
      <c r="R23" s="30" t="s">
        <v>30</v>
      </c>
      <c r="S23" s="30" t="s">
        <v>30</v>
      </c>
      <c r="T23" s="30" t="s">
        <v>30</v>
      </c>
      <c r="U23" s="30" t="s">
        <v>30</v>
      </c>
      <c r="V23" s="30" t="s">
        <v>30</v>
      </c>
      <c r="W23" s="30" t="s">
        <v>30</v>
      </c>
      <c r="X23" s="33" t="str">
        <f t="shared" si="6"/>
        <v>#REF!</v>
      </c>
      <c r="Y23" s="45"/>
      <c r="Z23" s="46"/>
      <c r="AA23" s="44"/>
      <c r="AB23" s="45" t="s">
        <v>108</v>
      </c>
      <c r="AC23" s="46">
        <f>COUNTIF(C3:C100,"Cap.")</f>
        <v>1</v>
      </c>
    </row>
    <row r="24" ht="15.75" customHeight="1">
      <c r="A24" s="25">
        <f t="shared" si="1"/>
        <v>3</v>
      </c>
      <c r="B24" s="25">
        <f t="shared" si="2"/>
        <v>11</v>
      </c>
      <c r="C24" s="26" t="s">
        <v>79</v>
      </c>
      <c r="D24" s="27" t="s">
        <v>109</v>
      </c>
      <c r="E24" s="28" t="s">
        <v>19</v>
      </c>
      <c r="F24" s="28"/>
      <c r="G24" s="29" t="s">
        <v>20</v>
      </c>
      <c r="H24" s="30" t="s">
        <v>30</v>
      </c>
      <c r="I24" s="31" t="s">
        <v>50</v>
      </c>
      <c r="J24" s="32"/>
      <c r="K24" s="42" t="s">
        <v>30</v>
      </c>
      <c r="L24" s="30" t="s">
        <v>30</v>
      </c>
      <c r="M24" s="42" t="s">
        <v>30</v>
      </c>
      <c r="N24" s="30" t="s">
        <v>30</v>
      </c>
      <c r="O24" s="42" t="s">
        <v>30</v>
      </c>
      <c r="P24" s="30" t="s">
        <v>30</v>
      </c>
      <c r="Q24" s="42" t="s">
        <v>30</v>
      </c>
      <c r="R24" s="30" t="s">
        <v>30</v>
      </c>
      <c r="S24" s="42" t="s">
        <v>30</v>
      </c>
      <c r="T24" s="30" t="s">
        <v>30</v>
      </c>
      <c r="U24" s="42" t="s">
        <v>30</v>
      </c>
      <c r="V24" s="42" t="s">
        <v>30</v>
      </c>
      <c r="W24" s="30" t="s">
        <v>30</v>
      </c>
      <c r="X24" s="33" t="str">
        <f t="shared" si="6"/>
        <v>#REF!</v>
      </c>
      <c r="Y24" s="47"/>
      <c r="Z24" s="47"/>
      <c r="AA24" s="48"/>
      <c r="AB24" s="45" t="s">
        <v>110</v>
      </c>
      <c r="AC24" s="46">
        <f>COUNTIF(C3:C101,"May.")</f>
        <v>2</v>
      </c>
    </row>
    <row r="25" ht="15.75" customHeight="1">
      <c r="A25" s="25">
        <f t="shared" si="1"/>
        <v>3</v>
      </c>
      <c r="B25" s="25">
        <f t="shared" si="2"/>
        <v>11</v>
      </c>
      <c r="C25" s="26" t="s">
        <v>79</v>
      </c>
      <c r="D25" s="27" t="s">
        <v>111</v>
      </c>
      <c r="E25" s="28" t="s">
        <v>19</v>
      </c>
      <c r="F25" s="28"/>
      <c r="G25" s="29" t="s">
        <v>112</v>
      </c>
      <c r="H25" s="30" t="s">
        <v>30</v>
      </c>
      <c r="I25" s="31" t="s">
        <v>50</v>
      </c>
      <c r="J25" s="32"/>
      <c r="K25" s="30" t="s">
        <v>30</v>
      </c>
      <c r="L25" s="30" t="s">
        <v>30</v>
      </c>
      <c r="M25" s="30" t="s">
        <v>30</v>
      </c>
      <c r="N25" s="30" t="s">
        <v>30</v>
      </c>
      <c r="O25" s="30" t="s">
        <v>30</v>
      </c>
      <c r="P25" s="30" t="s">
        <v>30</v>
      </c>
      <c r="Q25" s="30" t="s">
        <v>30</v>
      </c>
      <c r="R25" s="30" t="s">
        <v>30</v>
      </c>
      <c r="S25" s="30" t="s">
        <v>30</v>
      </c>
      <c r="T25" s="30" t="s">
        <v>30</v>
      </c>
      <c r="U25" s="30" t="s">
        <v>30</v>
      </c>
      <c r="V25" s="30" t="s">
        <v>30</v>
      </c>
      <c r="W25" s="30" t="s">
        <v>30</v>
      </c>
      <c r="X25" s="33" t="str">
        <f t="shared" si="6"/>
        <v>#REF!</v>
      </c>
    </row>
    <row r="26" ht="15.75" customHeight="1">
      <c r="A26" s="25">
        <f t="shared" si="1"/>
        <v>4</v>
      </c>
      <c r="B26" s="25">
        <f t="shared" si="2"/>
        <v>6</v>
      </c>
      <c r="C26" s="26" t="s">
        <v>113</v>
      </c>
      <c r="D26" s="27" t="s">
        <v>114</v>
      </c>
      <c r="E26" s="28" t="s">
        <v>48</v>
      </c>
      <c r="F26" s="28" t="s">
        <v>76</v>
      </c>
      <c r="G26" s="29" t="s">
        <v>20</v>
      </c>
      <c r="H26" s="30" t="s">
        <v>21</v>
      </c>
      <c r="I26" s="31" t="s">
        <v>115</v>
      </c>
      <c r="J26" s="32" t="s">
        <v>51</v>
      </c>
      <c r="K26" s="30"/>
      <c r="L26" s="30"/>
      <c r="M26" s="30" t="s">
        <v>21</v>
      </c>
      <c r="N26" s="30"/>
      <c r="O26" s="30" t="s">
        <v>21</v>
      </c>
      <c r="P26" s="30"/>
      <c r="Q26" s="30"/>
      <c r="R26" s="30"/>
      <c r="S26" s="30"/>
      <c r="T26" s="30"/>
      <c r="U26" s="30"/>
      <c r="V26" s="30"/>
      <c r="W26" s="30"/>
      <c r="X26" s="33" t="str">
        <f t="shared" si="6"/>
        <v>#REF!</v>
      </c>
      <c r="Y26" s="43" t="s">
        <v>116</v>
      </c>
      <c r="Z26" s="43" t="s">
        <v>73</v>
      </c>
      <c r="AA26" s="48"/>
      <c r="AB26" s="43" t="s">
        <v>117</v>
      </c>
      <c r="AC26" s="43" t="s">
        <v>73</v>
      </c>
    </row>
    <row r="27" ht="15.75" customHeight="1">
      <c r="A27" s="25">
        <f t="shared" si="1"/>
        <v>4</v>
      </c>
      <c r="B27" s="25">
        <f t="shared" si="2"/>
        <v>8</v>
      </c>
      <c r="C27" s="26" t="s">
        <v>54</v>
      </c>
      <c r="D27" s="27" t="s">
        <v>118</v>
      </c>
      <c r="E27" s="28" t="s">
        <v>76</v>
      </c>
      <c r="F27" s="28" t="s">
        <v>28</v>
      </c>
      <c r="G27" s="29" t="s">
        <v>62</v>
      </c>
      <c r="H27" s="30" t="s">
        <v>30</v>
      </c>
      <c r="I27" s="31" t="s">
        <v>115</v>
      </c>
      <c r="J27" s="32" t="s">
        <v>57</v>
      </c>
      <c r="K27" s="30" t="s">
        <v>30</v>
      </c>
      <c r="L27" s="30" t="s">
        <v>30</v>
      </c>
      <c r="M27" s="30" t="s">
        <v>30</v>
      </c>
      <c r="N27" s="30" t="s">
        <v>30</v>
      </c>
      <c r="O27" s="30" t="s">
        <v>30</v>
      </c>
      <c r="P27" s="30" t="s">
        <v>30</v>
      </c>
      <c r="Q27" s="30" t="s">
        <v>30</v>
      </c>
      <c r="R27" s="30" t="s">
        <v>30</v>
      </c>
      <c r="S27" s="30" t="s">
        <v>30</v>
      </c>
      <c r="T27" s="30" t="s">
        <v>30</v>
      </c>
      <c r="U27" s="30" t="s">
        <v>30</v>
      </c>
      <c r="V27" s="30" t="s">
        <v>30</v>
      </c>
      <c r="W27" s="30" t="s">
        <v>30</v>
      </c>
      <c r="X27" s="33" t="str">
        <f t="shared" si="6"/>
        <v>#REF!</v>
      </c>
      <c r="Y27" s="45" t="s">
        <v>119</v>
      </c>
      <c r="Z27" s="46">
        <f>COUNTIF(G3:G100, "Ar")</f>
        <v>19</v>
      </c>
      <c r="AA27" s="44"/>
      <c r="AB27" s="45" t="s">
        <v>120</v>
      </c>
      <c r="AC27" s="46">
        <f>COUNTIF(E3:E100,"AT")+COUNTIF(F3:F100,"AT")</f>
        <v>16</v>
      </c>
    </row>
    <row r="28" ht="15.75" customHeight="1">
      <c r="A28" s="25">
        <f t="shared" si="1"/>
        <v>4</v>
      </c>
      <c r="B28" s="25">
        <f t="shared" si="2"/>
        <v>8</v>
      </c>
      <c r="C28" s="26" t="s">
        <v>54</v>
      </c>
      <c r="D28" s="27" t="s">
        <v>121</v>
      </c>
      <c r="E28" s="28" t="s">
        <v>41</v>
      </c>
      <c r="F28" s="28" t="s">
        <v>28</v>
      </c>
      <c r="G28" s="29" t="s">
        <v>49</v>
      </c>
      <c r="H28" s="30" t="s">
        <v>21</v>
      </c>
      <c r="I28" s="31" t="s">
        <v>115</v>
      </c>
      <c r="J28" s="32" t="s">
        <v>63</v>
      </c>
      <c r="K28" s="30"/>
      <c r="L28" s="30"/>
      <c r="M28" s="30" t="s">
        <v>30</v>
      </c>
      <c r="N28" s="30"/>
      <c r="O28" s="30" t="s">
        <v>30</v>
      </c>
      <c r="P28" s="30"/>
      <c r="Q28" s="30"/>
      <c r="R28" s="30"/>
      <c r="S28" s="30"/>
      <c r="T28" s="30"/>
      <c r="U28" s="30"/>
      <c r="V28" s="30"/>
      <c r="W28" s="30"/>
      <c r="X28" s="33" t="str">
        <f t="shared" si="6"/>
        <v>#REF!</v>
      </c>
      <c r="Y28" s="49" t="s">
        <v>122</v>
      </c>
      <c r="Z28" s="46">
        <f>COUNTIF(G3:G100, "Ch")</f>
        <v>12</v>
      </c>
      <c r="AA28" s="44"/>
      <c r="AB28" s="49" t="s">
        <v>123</v>
      </c>
      <c r="AC28" s="46">
        <f>COUNTIF(E3:E100,"FL")+COUNTIF(F3:F100,"FL")</f>
        <v>37</v>
      </c>
    </row>
    <row r="29" ht="15.75" customHeight="1">
      <c r="A29" s="25">
        <f t="shared" si="1"/>
        <v>4</v>
      </c>
      <c r="B29" s="25">
        <f t="shared" si="2"/>
        <v>9</v>
      </c>
      <c r="C29" s="26" t="s">
        <v>64</v>
      </c>
      <c r="D29" s="27" t="s">
        <v>124</v>
      </c>
      <c r="E29" s="28" t="s">
        <v>61</v>
      </c>
      <c r="F29" s="28" t="s">
        <v>70</v>
      </c>
      <c r="G29" s="29" t="s">
        <v>125</v>
      </c>
      <c r="H29" s="30" t="s">
        <v>21</v>
      </c>
      <c r="I29" s="31" t="s">
        <v>115</v>
      </c>
      <c r="J29" s="32" t="s">
        <v>68</v>
      </c>
      <c r="K29" s="30"/>
      <c r="L29" s="30" t="s">
        <v>21</v>
      </c>
      <c r="M29" s="30" t="s">
        <v>21</v>
      </c>
      <c r="N29" s="30"/>
      <c r="O29" s="30" t="s">
        <v>21</v>
      </c>
      <c r="P29" s="30"/>
      <c r="Q29" s="30"/>
      <c r="R29" s="50"/>
      <c r="S29" s="30"/>
      <c r="T29" s="50"/>
      <c r="U29" s="30"/>
      <c r="V29" s="42"/>
      <c r="W29" s="51"/>
      <c r="X29" s="33" t="str">
        <f t="shared" si="6"/>
        <v>#REF!</v>
      </c>
      <c r="Y29" s="49" t="s">
        <v>126</v>
      </c>
      <c r="Z29" s="46">
        <f>COUNTIF(G3:G100, "Co")</f>
        <v>3</v>
      </c>
      <c r="AA29" s="44"/>
      <c r="AB29" s="49" t="s">
        <v>127</v>
      </c>
      <c r="AC29" s="46">
        <f>COUNTIF(E3:E100,"GL")+COUNTIF(F3:F100,"GL")</f>
        <v>8</v>
      </c>
    </row>
    <row r="30" ht="15.75" customHeight="1">
      <c r="A30" s="25">
        <f t="shared" si="1"/>
        <v>4</v>
      </c>
      <c r="B30" s="25">
        <f t="shared" si="2"/>
        <v>10</v>
      </c>
      <c r="C30" s="26" t="s">
        <v>84</v>
      </c>
      <c r="D30" s="27" t="s">
        <v>128</v>
      </c>
      <c r="E30" s="28" t="s">
        <v>41</v>
      </c>
      <c r="F30" s="28" t="s">
        <v>19</v>
      </c>
      <c r="G30" s="29" t="s">
        <v>71</v>
      </c>
      <c r="H30" s="30" t="s">
        <v>21</v>
      </c>
      <c r="I30" s="31" t="s">
        <v>115</v>
      </c>
      <c r="J30" s="32" t="s">
        <v>68</v>
      </c>
      <c r="K30" s="30"/>
      <c r="L30" s="30" t="s">
        <v>21</v>
      </c>
      <c r="M30" s="30" t="s">
        <v>21</v>
      </c>
      <c r="N30" s="30"/>
      <c r="O30" s="30" t="s">
        <v>21</v>
      </c>
      <c r="P30" s="30"/>
      <c r="Q30" s="30"/>
      <c r="R30" s="30"/>
      <c r="S30" s="30"/>
      <c r="T30" s="30"/>
      <c r="U30" s="30"/>
      <c r="V30" s="30"/>
      <c r="W30" s="30"/>
      <c r="X30" s="33" t="str">
        <f t="shared" si="6"/>
        <v>#REF!</v>
      </c>
      <c r="Y30" s="49" t="s">
        <v>129</v>
      </c>
      <c r="Z30" s="46">
        <f>COUNTIF(G3:G100, "CR")</f>
        <v>0</v>
      </c>
      <c r="AA30" s="44"/>
      <c r="AB30" s="49" t="s">
        <v>130</v>
      </c>
      <c r="AC30" s="46">
        <f>COUNTIF(E3:E100,"MC")+COUNTIF(F3:F100,"MC")</f>
        <v>23</v>
      </c>
    </row>
    <row r="31" ht="15.75" customHeight="1">
      <c r="A31" s="25">
        <f t="shared" si="1"/>
        <v>4</v>
      </c>
      <c r="B31" s="25">
        <f t="shared" si="2"/>
        <v>10</v>
      </c>
      <c r="C31" s="26" t="s">
        <v>84</v>
      </c>
      <c r="D31" s="27" t="s">
        <v>131</v>
      </c>
      <c r="E31" s="28" t="s">
        <v>19</v>
      </c>
      <c r="F31" s="28"/>
      <c r="G31" s="29" t="s">
        <v>132</v>
      </c>
      <c r="H31" s="30" t="s">
        <v>21</v>
      </c>
      <c r="I31" s="31" t="s">
        <v>115</v>
      </c>
      <c r="J31" s="32" t="s">
        <v>68</v>
      </c>
      <c r="K31" s="30"/>
      <c r="L31" s="30" t="s">
        <v>33</v>
      </c>
      <c r="M31" s="30" t="s">
        <v>33</v>
      </c>
      <c r="N31" s="30"/>
      <c r="O31" s="30" t="s">
        <v>33</v>
      </c>
      <c r="P31" s="30"/>
      <c r="Q31" s="30"/>
      <c r="R31" s="30"/>
      <c r="S31" s="30"/>
      <c r="T31" s="30"/>
      <c r="U31" s="30"/>
      <c r="V31" s="30"/>
      <c r="W31" s="30"/>
      <c r="X31" s="33" t="str">
        <f t="shared" si="6"/>
        <v>#REF!</v>
      </c>
      <c r="Y31" s="49" t="s">
        <v>133</v>
      </c>
      <c r="Z31" s="46">
        <f>COUNTIF(G3:G100, "ES")</f>
        <v>1</v>
      </c>
      <c r="AA31" s="44"/>
      <c r="AB31" s="49" t="s">
        <v>134</v>
      </c>
      <c r="AC31" s="46">
        <f>COUNTIF(E3:E100,"MG")+COUNTIF(F3:F100,"MG")</f>
        <v>16</v>
      </c>
    </row>
    <row r="32" ht="15.75" customHeight="1">
      <c r="A32" s="25">
        <f t="shared" si="1"/>
        <v>4</v>
      </c>
      <c r="B32" s="25">
        <f t="shared" si="2"/>
        <v>11</v>
      </c>
      <c r="C32" s="26" t="s">
        <v>79</v>
      </c>
      <c r="D32" s="27" t="s">
        <v>135</v>
      </c>
      <c r="E32" s="28" t="s">
        <v>19</v>
      </c>
      <c r="F32" s="28"/>
      <c r="G32" s="29"/>
      <c r="H32" s="30" t="s">
        <v>21</v>
      </c>
      <c r="I32" s="31" t="s">
        <v>115</v>
      </c>
      <c r="J32" s="32" t="s">
        <v>68</v>
      </c>
      <c r="K32" s="30"/>
      <c r="L32" s="30" t="s">
        <v>24</v>
      </c>
      <c r="M32" s="30" t="s">
        <v>24</v>
      </c>
      <c r="N32" s="30"/>
      <c r="O32" s="30" t="s">
        <v>33</v>
      </c>
      <c r="P32" s="30"/>
      <c r="Q32" s="30"/>
      <c r="R32" s="30"/>
      <c r="S32" s="30"/>
      <c r="T32" s="30"/>
      <c r="U32" s="30"/>
      <c r="V32" s="30"/>
      <c r="W32" s="30"/>
      <c r="X32" s="33" t="str">
        <f t="shared" si="6"/>
        <v>#REF!</v>
      </c>
      <c r="Y32" s="49" t="s">
        <v>136</v>
      </c>
      <c r="Z32" s="46">
        <f>COUNTIF(G3:G100, "Ja")</f>
        <v>1</v>
      </c>
      <c r="AA32" s="44"/>
      <c r="AB32" s="49" t="s">
        <v>137</v>
      </c>
      <c r="AC32" s="46">
        <f>COUNTIF(E3:E100,"OD")+COUNTIF(F3:F100,"OD")</f>
        <v>6</v>
      </c>
    </row>
    <row r="33" ht="15.75" customHeight="1">
      <c r="A33" s="25">
        <f t="shared" si="1"/>
        <v>4</v>
      </c>
      <c r="B33" s="25">
        <f t="shared" si="2"/>
        <v>8</v>
      </c>
      <c r="C33" s="26" t="s">
        <v>54</v>
      </c>
      <c r="D33" s="27" t="s">
        <v>138</v>
      </c>
      <c r="E33" s="28" t="s">
        <v>61</v>
      </c>
      <c r="F33" s="28" t="s">
        <v>70</v>
      </c>
      <c r="G33" s="29" t="s">
        <v>62</v>
      </c>
      <c r="H33" s="30" t="s">
        <v>21</v>
      </c>
      <c r="I33" s="31" t="s">
        <v>115</v>
      </c>
      <c r="J33" s="32" t="s">
        <v>85</v>
      </c>
      <c r="K33" s="30"/>
      <c r="L33" s="30" t="s">
        <v>21</v>
      </c>
      <c r="M33" s="30" t="s">
        <v>21</v>
      </c>
      <c r="N33" s="30"/>
      <c r="O33" s="30" t="s">
        <v>24</v>
      </c>
      <c r="P33" s="30"/>
      <c r="Q33" s="30"/>
      <c r="R33" s="30"/>
      <c r="S33" s="30"/>
      <c r="T33" s="30"/>
      <c r="U33" s="30"/>
      <c r="V33" s="30"/>
      <c r="W33" s="30"/>
      <c r="X33" s="33" t="str">
        <f t="shared" si="6"/>
        <v>#REF!</v>
      </c>
      <c r="Y33" s="49" t="s">
        <v>139</v>
      </c>
      <c r="Z33" s="46">
        <f>COUNTIF(G3:G100, "Me")</f>
        <v>8</v>
      </c>
      <c r="AA33" s="44"/>
      <c r="AB33" s="49" t="s">
        <v>140</v>
      </c>
      <c r="AC33" s="46">
        <f>COUNTIF(E3:E100,"RO")+COUNTIF(F3:F100,"RO")</f>
        <v>10</v>
      </c>
    </row>
    <row r="34" ht="15.75" customHeight="1">
      <c r="A34" s="25">
        <f t="shared" si="1"/>
        <v>4</v>
      </c>
      <c r="B34" s="25">
        <f t="shared" si="2"/>
        <v>10</v>
      </c>
      <c r="C34" s="26" t="s">
        <v>84</v>
      </c>
      <c r="D34" s="27" t="s">
        <v>141</v>
      </c>
      <c r="E34" s="28" t="s">
        <v>28</v>
      </c>
      <c r="F34" s="28" t="s">
        <v>41</v>
      </c>
      <c r="G34" s="29"/>
      <c r="H34" s="30" t="s">
        <v>21</v>
      </c>
      <c r="I34" s="31" t="s">
        <v>115</v>
      </c>
      <c r="J34" s="32" t="s">
        <v>85</v>
      </c>
      <c r="K34" s="30"/>
      <c r="L34" s="30" t="s">
        <v>30</v>
      </c>
      <c r="M34" s="30" t="s">
        <v>30</v>
      </c>
      <c r="N34" s="30"/>
      <c r="O34" s="30" t="s">
        <v>30</v>
      </c>
      <c r="P34" s="30"/>
      <c r="Q34" s="52"/>
      <c r="R34" s="52"/>
      <c r="S34" s="52"/>
      <c r="T34" s="52"/>
      <c r="U34" s="52"/>
      <c r="V34" s="52"/>
      <c r="W34" s="52"/>
      <c r="X34" s="33" t="str">
        <f t="shared" si="6"/>
        <v>#REF!</v>
      </c>
      <c r="Y34" s="49" t="s">
        <v>142</v>
      </c>
      <c r="Z34" s="46">
        <f>COUNTIF(G3:G100, "Pa")</f>
        <v>1</v>
      </c>
      <c r="AA34" s="44"/>
      <c r="AB34" s="49" t="s">
        <v>143</v>
      </c>
      <c r="AC34" s="46">
        <f>COUNTIF(E3:E100,"TE")+COUNTIF(F3:F100,"TE")</f>
        <v>9</v>
      </c>
    </row>
    <row r="35" ht="15.75" customHeight="1">
      <c r="A35" s="25">
        <f t="shared" si="1"/>
        <v>4</v>
      </c>
      <c r="B35" s="25">
        <f t="shared" si="2"/>
        <v>10</v>
      </c>
      <c r="C35" s="26" t="s">
        <v>84</v>
      </c>
      <c r="D35" s="27" t="s">
        <v>144</v>
      </c>
      <c r="E35" s="28" t="s">
        <v>19</v>
      </c>
      <c r="F35" s="28" t="s">
        <v>70</v>
      </c>
      <c r="G35" s="29" t="s">
        <v>145</v>
      </c>
      <c r="H35" s="42" t="s">
        <v>30</v>
      </c>
      <c r="I35" s="31" t="s">
        <v>115</v>
      </c>
      <c r="J35" s="32" t="s">
        <v>85</v>
      </c>
      <c r="K35" s="30" t="s">
        <v>30</v>
      </c>
      <c r="L35" s="30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30" t="s">
        <v>30</v>
      </c>
      <c r="R35" s="30" t="s">
        <v>30</v>
      </c>
      <c r="S35" s="30" t="s">
        <v>30</v>
      </c>
      <c r="T35" s="30" t="s">
        <v>30</v>
      </c>
      <c r="U35" s="30" t="s">
        <v>30</v>
      </c>
      <c r="V35" s="30" t="s">
        <v>30</v>
      </c>
      <c r="W35" s="30" t="s">
        <v>30</v>
      </c>
      <c r="X35" s="33" t="str">
        <f t="shared" si="6"/>
        <v>#REF!</v>
      </c>
      <c r="Y35" s="49" t="s">
        <v>146</v>
      </c>
      <c r="Z35" s="46">
        <f>COUNTIF(G3:G100, "Py")</f>
        <v>0</v>
      </c>
      <c r="AA35" s="44"/>
      <c r="AB35" s="49" t="s">
        <v>147</v>
      </c>
      <c r="AC35" s="46">
        <f>COUNTIF(E3:E100,"TS")+COUNTIF(F3:F100,"TS")</f>
        <v>2</v>
      </c>
    </row>
    <row r="36" ht="15.75" customHeight="1">
      <c r="A36" s="25">
        <f t="shared" si="1"/>
        <v>4</v>
      </c>
      <c r="B36" s="25">
        <v>11.0</v>
      </c>
      <c r="C36" s="26" t="s">
        <v>84</v>
      </c>
      <c r="D36" s="27" t="s">
        <v>148</v>
      </c>
      <c r="E36" s="28" t="s">
        <v>61</v>
      </c>
      <c r="F36" s="28"/>
      <c r="G36" s="29" t="s">
        <v>149</v>
      </c>
      <c r="H36" s="30" t="s">
        <v>21</v>
      </c>
      <c r="I36" s="31" t="s">
        <v>115</v>
      </c>
      <c r="J36" s="32" t="s">
        <v>85</v>
      </c>
      <c r="K36" s="30"/>
      <c r="L36" s="30" t="s">
        <v>33</v>
      </c>
      <c r="M36" s="30" t="s">
        <v>33</v>
      </c>
      <c r="N36" s="30"/>
      <c r="O36" s="30" t="s">
        <v>33</v>
      </c>
      <c r="P36" s="30"/>
      <c r="Q36" s="30"/>
      <c r="R36" s="30"/>
      <c r="S36" s="30"/>
      <c r="T36" s="30"/>
      <c r="U36" s="30"/>
      <c r="V36" s="30"/>
      <c r="W36" s="30"/>
      <c r="X36" s="33" t="str">
        <f t="shared" si="6"/>
        <v>#REF!</v>
      </c>
      <c r="Y36" s="49" t="s">
        <v>150</v>
      </c>
      <c r="Z36" s="46">
        <f>COUNTIF(G3:G100, "Pe")</f>
        <v>3</v>
      </c>
      <c r="AA36" s="44"/>
      <c r="AB36" s="49"/>
      <c r="AC36" s="46"/>
    </row>
    <row r="37" ht="15.75" customHeight="1">
      <c r="A37" s="25">
        <f t="shared" si="1"/>
        <v>4</v>
      </c>
      <c r="B37" s="25">
        <f>IF(C37="Cap.",1,IF(C37="Tte.",2,IF(C37="Alf.",3,IF(C37="SgtM.",4,IF(C37="Sgt1.",5,IF(C37="Sgt.",6,IF(C37="Cbo1.",7,IF(C37="Cbo.",8,IF(C37="Dis.",9,IF(C37="Inf.",10,IF(C37="Rct.",11,15)))))))))))</f>
        <v>11</v>
      </c>
      <c r="C37" s="53" t="s">
        <v>79</v>
      </c>
      <c r="D37" s="54" t="s">
        <v>151</v>
      </c>
      <c r="E37" s="28" t="s">
        <v>19</v>
      </c>
      <c r="F37" s="28"/>
      <c r="G37" s="29" t="s">
        <v>71</v>
      </c>
      <c r="H37" s="30" t="s">
        <v>21</v>
      </c>
      <c r="I37" s="31" t="s">
        <v>115</v>
      </c>
      <c r="J37" s="32"/>
      <c r="K37" s="30"/>
      <c r="L37" s="30" t="s">
        <v>24</v>
      </c>
      <c r="M37" s="30" t="s">
        <v>24</v>
      </c>
      <c r="N37" s="30"/>
      <c r="O37" s="30" t="s">
        <v>24</v>
      </c>
      <c r="P37" s="30"/>
      <c r="Q37" s="30"/>
      <c r="R37" s="30"/>
      <c r="S37" s="30"/>
      <c r="T37" s="30"/>
      <c r="U37" s="30"/>
      <c r="V37" s="30"/>
      <c r="W37" s="30"/>
      <c r="X37" s="33" t="str">
        <f t="shared" si="6"/>
        <v>#REF!</v>
      </c>
      <c r="Y37" s="49" t="s">
        <v>152</v>
      </c>
      <c r="Z37" s="46">
        <f>COUNTIF(G3:G100, "US")</f>
        <v>1</v>
      </c>
      <c r="AA37" s="44"/>
      <c r="AB37" s="49"/>
      <c r="AC37" s="46"/>
    </row>
    <row r="38" ht="15.75" customHeight="1">
      <c r="A38" s="25">
        <v>4.0</v>
      </c>
      <c r="B38" s="25"/>
      <c r="C38" s="53" t="s">
        <v>79</v>
      </c>
      <c r="D38" s="27" t="s">
        <v>153</v>
      </c>
      <c r="E38" s="28" t="s">
        <v>19</v>
      </c>
      <c r="F38" s="28"/>
      <c r="G38" s="29"/>
      <c r="H38" s="30" t="s">
        <v>21</v>
      </c>
      <c r="I38" s="31" t="s">
        <v>115</v>
      </c>
      <c r="J38" s="32"/>
      <c r="K38" s="30"/>
      <c r="L38" s="30" t="s">
        <v>21</v>
      </c>
      <c r="M38" s="30" t="s">
        <v>21</v>
      </c>
      <c r="N38" s="30"/>
      <c r="O38" s="30" t="s">
        <v>21</v>
      </c>
      <c r="P38" s="30"/>
      <c r="Q38" s="30"/>
      <c r="R38" s="30"/>
      <c r="S38" s="30"/>
      <c r="T38" s="30"/>
      <c r="U38" s="30"/>
      <c r="V38" s="30"/>
      <c r="W38" s="30"/>
      <c r="X38" s="33" t="str">
        <f t="shared" si="6"/>
        <v>#REF!</v>
      </c>
      <c r="Y38" s="49" t="s">
        <v>154</v>
      </c>
      <c r="Z38" s="46">
        <f>COUNTIF(G1:G98, "Ve")</f>
        <v>18</v>
      </c>
      <c r="AA38" s="44"/>
      <c r="AB38" s="49"/>
      <c r="AC38" s="46"/>
    </row>
    <row r="39" ht="15.75" customHeight="1">
      <c r="A39" s="25">
        <v>4.0</v>
      </c>
      <c r="B39" s="25"/>
      <c r="C39" s="53" t="s">
        <v>79</v>
      </c>
      <c r="D39" s="27" t="s">
        <v>155</v>
      </c>
      <c r="E39" s="28" t="s">
        <v>19</v>
      </c>
      <c r="F39" s="28"/>
      <c r="G39" s="29"/>
      <c r="H39" s="30" t="s">
        <v>21</v>
      </c>
      <c r="I39" s="31" t="s">
        <v>115</v>
      </c>
      <c r="J39" s="32"/>
      <c r="K39" s="30"/>
      <c r="L39" s="30" t="s">
        <v>21</v>
      </c>
      <c r="M39" s="30" t="s">
        <v>21</v>
      </c>
      <c r="N39" s="30"/>
      <c r="O39" s="30" t="s">
        <v>21</v>
      </c>
      <c r="P39" s="30"/>
      <c r="Q39" s="30"/>
      <c r="R39" s="30"/>
      <c r="S39" s="30"/>
      <c r="T39" s="30"/>
      <c r="U39" s="30"/>
      <c r="V39" s="30"/>
      <c r="W39" s="30"/>
      <c r="X39" s="33" t="str">
        <f t="shared" si="6"/>
        <v>#REF!</v>
      </c>
      <c r="Y39" s="49" t="s">
        <v>156</v>
      </c>
      <c r="Z39" s="46">
        <f>COUNTIF(G1:G98, "PR")</f>
        <v>0</v>
      </c>
      <c r="AA39" s="44"/>
      <c r="AB39" s="49"/>
      <c r="AC39" s="46"/>
    </row>
    <row r="40" ht="15.75" customHeight="1">
      <c r="A40" s="25">
        <f t="shared" ref="A40:A100" si="7">IF(I40="ALTM",1,IF(I40="1° P",2,IF(I40="1° P - 1°M",3,IF(I40="1° P - 2°M",4,IF(I40="2° P",5,IF(I40="2° P - 3°M",6,IF(I40="2° P - 4°M",7,IF(I40="1° PP",8,IF(I40="1° PP - 1°Pa",9,IF(I40="1° PP - 2°Pa",10,IF(I40="Espectro",11,IF(I40="Caballeria",12,IF(I40="FAZR",13,15)))))))))))))</f>
        <v>9</v>
      </c>
      <c r="B40" s="25">
        <f t="shared" ref="B40:B100" si="8">IF(C40="Cap.",1,IF(C40="Tte.",2,IF(C40="Alf.",3,IF(C40="SgtM.",4,IF(C40="Sgt1.",5,IF(C40="Sgt.",6,IF(C40="Cbo1.",7,IF(C40="Cbo.",8,IF(C40="Dis.",9,IF(C40="Inf.",10,IF(C40="Rct.",11,15)))))))))))</f>
        <v>6</v>
      </c>
      <c r="C40" s="26" t="s">
        <v>113</v>
      </c>
      <c r="D40" s="27" t="s">
        <v>157</v>
      </c>
      <c r="E40" s="28" t="s">
        <v>48</v>
      </c>
      <c r="F40" s="28" t="s">
        <v>41</v>
      </c>
      <c r="G40" s="29" t="s">
        <v>20</v>
      </c>
      <c r="H40" s="30" t="s">
        <v>21</v>
      </c>
      <c r="I40" s="31" t="s">
        <v>158</v>
      </c>
      <c r="J40" s="32" t="s">
        <v>51</v>
      </c>
      <c r="K40" s="30"/>
      <c r="L40" s="30" t="s">
        <v>21</v>
      </c>
      <c r="M40" s="30" t="s">
        <v>21</v>
      </c>
      <c r="N40" s="30"/>
      <c r="O40" s="30" t="s">
        <v>21</v>
      </c>
      <c r="P40" s="30"/>
      <c r="Q40" s="30"/>
      <c r="R40" s="30"/>
      <c r="S40" s="30"/>
      <c r="T40" s="30"/>
      <c r="U40" s="30"/>
      <c r="V40" s="30"/>
      <c r="W40" s="30"/>
      <c r="X40" s="33" t="str">
        <f t="shared" si="6"/>
        <v>#REF!</v>
      </c>
      <c r="Y40" s="49" t="s">
        <v>159</v>
      </c>
      <c r="Z40" s="46">
        <f>COUNTIF(G1:G98, "Bo")</f>
        <v>1</v>
      </c>
      <c r="AA40" s="44"/>
      <c r="AB40" s="49"/>
      <c r="AC40" s="46"/>
    </row>
    <row r="41" ht="15.75" customHeight="1">
      <c r="A41" s="25">
        <f t="shared" si="7"/>
        <v>9</v>
      </c>
      <c r="B41" s="25">
        <f t="shared" si="8"/>
        <v>7</v>
      </c>
      <c r="C41" s="26" t="s">
        <v>46</v>
      </c>
      <c r="D41" s="27" t="s">
        <v>160</v>
      </c>
      <c r="E41" s="28" t="s">
        <v>61</v>
      </c>
      <c r="F41" s="28" t="s">
        <v>48</v>
      </c>
      <c r="G41" s="29" t="s">
        <v>149</v>
      </c>
      <c r="H41" s="30" t="s">
        <v>21</v>
      </c>
      <c r="I41" s="31" t="s">
        <v>158</v>
      </c>
      <c r="J41" s="32" t="s">
        <v>57</v>
      </c>
      <c r="K41" s="30"/>
      <c r="L41" s="30" t="s">
        <v>24</v>
      </c>
      <c r="M41" s="30" t="s">
        <v>21</v>
      </c>
      <c r="N41" s="30"/>
      <c r="O41" s="30" t="s">
        <v>24</v>
      </c>
      <c r="P41" s="30"/>
      <c r="Q41" s="30"/>
      <c r="R41" s="30"/>
      <c r="S41" s="30"/>
      <c r="T41" s="30"/>
      <c r="U41" s="30"/>
      <c r="V41" s="30"/>
      <c r="W41" s="30"/>
      <c r="X41" s="33" t="str">
        <f t="shared" si="6"/>
        <v>#REF!</v>
      </c>
      <c r="Y41" s="49" t="s">
        <v>161</v>
      </c>
      <c r="Z41" s="46">
        <f>COUNTIF(G1:G99, "RD")</f>
        <v>1</v>
      </c>
      <c r="AA41" s="44"/>
      <c r="AB41" s="44"/>
      <c r="AC41" s="44"/>
    </row>
    <row r="42" ht="15.75" customHeight="1">
      <c r="A42" s="25">
        <f t="shared" si="7"/>
        <v>9</v>
      </c>
      <c r="B42" s="25">
        <f t="shared" si="8"/>
        <v>7</v>
      </c>
      <c r="C42" s="26" t="s">
        <v>46</v>
      </c>
      <c r="D42" s="27" t="s">
        <v>162</v>
      </c>
      <c r="E42" s="28" t="s">
        <v>41</v>
      </c>
      <c r="F42" s="28" t="s">
        <v>28</v>
      </c>
      <c r="G42" s="29" t="s">
        <v>163</v>
      </c>
      <c r="H42" s="30" t="s">
        <v>30</v>
      </c>
      <c r="I42" s="31" t="s">
        <v>158</v>
      </c>
      <c r="J42" s="32" t="s">
        <v>63</v>
      </c>
      <c r="K42" s="30" t="s">
        <v>30</v>
      </c>
      <c r="L42" s="30" t="s">
        <v>30</v>
      </c>
      <c r="M42" s="30" t="s">
        <v>30</v>
      </c>
      <c r="N42" s="30" t="s">
        <v>30</v>
      </c>
      <c r="O42" s="30" t="s">
        <v>30</v>
      </c>
      <c r="P42" s="30" t="s">
        <v>30</v>
      </c>
      <c r="Q42" s="30" t="s">
        <v>30</v>
      </c>
      <c r="R42" s="30" t="s">
        <v>30</v>
      </c>
      <c r="S42" s="30" t="s">
        <v>30</v>
      </c>
      <c r="T42" s="30" t="s">
        <v>30</v>
      </c>
      <c r="U42" s="30" t="s">
        <v>30</v>
      </c>
      <c r="V42" s="30" t="s">
        <v>30</v>
      </c>
      <c r="W42" s="30" t="s">
        <v>30</v>
      </c>
      <c r="X42" s="33" t="str">
        <f t="shared" si="6"/>
        <v>#REF!</v>
      </c>
      <c r="Y42" s="49"/>
      <c r="Z42" s="46"/>
      <c r="AA42" s="44"/>
      <c r="AB42" s="44"/>
      <c r="AC42" s="44"/>
    </row>
    <row r="43" ht="15.75" customHeight="1">
      <c r="A43" s="25">
        <f t="shared" si="7"/>
        <v>9</v>
      </c>
      <c r="B43" s="25">
        <f t="shared" si="8"/>
        <v>9</v>
      </c>
      <c r="C43" s="26" t="s">
        <v>64</v>
      </c>
      <c r="D43" s="27" t="s">
        <v>164</v>
      </c>
      <c r="E43" s="28" t="s">
        <v>41</v>
      </c>
      <c r="F43" s="28" t="s">
        <v>28</v>
      </c>
      <c r="G43" s="29" t="s">
        <v>20</v>
      </c>
      <c r="H43" s="30" t="s">
        <v>21</v>
      </c>
      <c r="I43" s="31" t="s">
        <v>158</v>
      </c>
      <c r="J43" s="32" t="s">
        <v>68</v>
      </c>
      <c r="K43" s="30"/>
      <c r="L43" s="30" t="s">
        <v>21</v>
      </c>
      <c r="M43" s="30" t="s">
        <v>21</v>
      </c>
      <c r="N43" s="30"/>
      <c r="O43" s="30" t="s">
        <v>21</v>
      </c>
      <c r="P43" s="30"/>
      <c r="Q43" s="30"/>
      <c r="R43" s="30"/>
      <c r="S43" s="30"/>
      <c r="T43" s="30"/>
      <c r="U43" s="30"/>
      <c r="V43" s="30"/>
      <c r="W43" s="30"/>
      <c r="X43" s="33" t="str">
        <f t="shared" si="6"/>
        <v>#REF!</v>
      </c>
      <c r="Y43" s="49"/>
      <c r="Z43" s="46"/>
    </row>
    <row r="44" ht="15.75" customHeight="1">
      <c r="A44" s="25">
        <f t="shared" si="7"/>
        <v>9</v>
      </c>
      <c r="B44" s="25">
        <f t="shared" si="8"/>
        <v>8</v>
      </c>
      <c r="C44" s="26" t="s">
        <v>54</v>
      </c>
      <c r="D44" s="27" t="s">
        <v>165</v>
      </c>
      <c r="E44" s="28" t="s">
        <v>61</v>
      </c>
      <c r="F44" s="28" t="s">
        <v>41</v>
      </c>
      <c r="G44" s="29" t="s">
        <v>71</v>
      </c>
      <c r="H44" s="30" t="s">
        <v>21</v>
      </c>
      <c r="I44" s="31" t="s">
        <v>158</v>
      </c>
      <c r="J44" s="32" t="s">
        <v>85</v>
      </c>
      <c r="K44" s="30"/>
      <c r="L44" s="30" t="s">
        <v>24</v>
      </c>
      <c r="M44" s="30" t="s">
        <v>21</v>
      </c>
      <c r="N44" s="30"/>
      <c r="O44" s="30" t="s">
        <v>21</v>
      </c>
      <c r="P44" s="30"/>
      <c r="Q44" s="30"/>
      <c r="R44" s="30"/>
      <c r="S44" s="30"/>
      <c r="T44" s="30"/>
      <c r="U44" s="30"/>
      <c r="V44" s="30"/>
      <c r="W44" s="30"/>
      <c r="X44" s="33" t="str">
        <f t="shared" si="6"/>
        <v>#REF!</v>
      </c>
    </row>
    <row r="45" ht="15.75" customHeight="1">
      <c r="A45" s="25">
        <f t="shared" si="7"/>
        <v>9</v>
      </c>
      <c r="B45" s="25">
        <f t="shared" si="8"/>
        <v>10</v>
      </c>
      <c r="C45" s="26" t="s">
        <v>84</v>
      </c>
      <c r="D45" s="27" t="s">
        <v>166</v>
      </c>
      <c r="E45" s="28" t="s">
        <v>19</v>
      </c>
      <c r="F45" s="28" t="s">
        <v>48</v>
      </c>
      <c r="G45" s="29" t="s">
        <v>71</v>
      </c>
      <c r="H45" s="42" t="s">
        <v>21</v>
      </c>
      <c r="I45" s="31" t="s">
        <v>158</v>
      </c>
      <c r="J45" s="32" t="s">
        <v>85</v>
      </c>
      <c r="K45" s="42"/>
      <c r="L45" s="42" t="s">
        <v>21</v>
      </c>
      <c r="M45" s="42" t="s">
        <v>21</v>
      </c>
      <c r="N45" s="42"/>
      <c r="O45" s="42" t="s">
        <v>24</v>
      </c>
      <c r="P45" s="42"/>
      <c r="Q45" s="42"/>
      <c r="R45" s="42"/>
      <c r="S45" s="42"/>
      <c r="T45" s="42"/>
      <c r="U45" s="42"/>
      <c r="V45" s="42"/>
      <c r="W45" s="42"/>
      <c r="X45" s="33" t="str">
        <f t="shared" si="6"/>
        <v>#REF!</v>
      </c>
      <c r="Y45" s="55" t="s">
        <v>167</v>
      </c>
      <c r="Z45" s="5"/>
      <c r="AA45" s="47"/>
      <c r="AB45" s="55" t="s">
        <v>168</v>
      </c>
      <c r="AC45" s="5"/>
    </row>
    <row r="46" ht="15.75" customHeight="1">
      <c r="A46" s="25">
        <f t="shared" si="7"/>
        <v>9</v>
      </c>
      <c r="B46" s="25">
        <f t="shared" si="8"/>
        <v>6</v>
      </c>
      <c r="C46" s="26" t="s">
        <v>113</v>
      </c>
      <c r="D46" s="27" t="s">
        <v>169</v>
      </c>
      <c r="E46" s="28" t="s">
        <v>41</v>
      </c>
      <c r="F46" s="28" t="s">
        <v>19</v>
      </c>
      <c r="G46" s="29" t="s">
        <v>20</v>
      </c>
      <c r="H46" s="30" t="s">
        <v>30</v>
      </c>
      <c r="I46" s="31" t="s">
        <v>158</v>
      </c>
      <c r="J46" s="32"/>
      <c r="K46" s="30" t="s">
        <v>30</v>
      </c>
      <c r="L46" s="30" t="s">
        <v>30</v>
      </c>
      <c r="M46" s="30" t="s">
        <v>30</v>
      </c>
      <c r="N46" s="30" t="s">
        <v>30</v>
      </c>
      <c r="O46" s="30" t="s">
        <v>30</v>
      </c>
      <c r="P46" s="30" t="s">
        <v>30</v>
      </c>
      <c r="Q46" s="30" t="s">
        <v>30</v>
      </c>
      <c r="R46" s="30" t="s">
        <v>30</v>
      </c>
      <c r="S46" s="30" t="s">
        <v>30</v>
      </c>
      <c r="T46" s="30" t="s">
        <v>30</v>
      </c>
      <c r="U46" s="30" t="s">
        <v>30</v>
      </c>
      <c r="V46" s="30" t="s">
        <v>30</v>
      </c>
      <c r="W46" s="30" t="s">
        <v>30</v>
      </c>
      <c r="X46" s="33" t="str">
        <f t="shared" si="6"/>
        <v>#REF!</v>
      </c>
      <c r="Y46" s="56" t="s">
        <v>9</v>
      </c>
      <c r="Z46" s="57"/>
      <c r="AA46" s="58" t="s">
        <v>170</v>
      </c>
      <c r="AB46" s="58" t="s">
        <v>171</v>
      </c>
      <c r="AC46" s="58" t="s">
        <v>172</v>
      </c>
    </row>
    <row r="47" ht="15.75" customHeight="1">
      <c r="A47" s="25">
        <f t="shared" si="7"/>
        <v>9</v>
      </c>
      <c r="B47" s="25">
        <f t="shared" si="8"/>
        <v>7</v>
      </c>
      <c r="C47" s="26" t="s">
        <v>46</v>
      </c>
      <c r="D47" s="27" t="s">
        <v>173</v>
      </c>
      <c r="E47" s="28" t="s">
        <v>76</v>
      </c>
      <c r="F47" s="28" t="s">
        <v>56</v>
      </c>
      <c r="G47" s="29" t="s">
        <v>20</v>
      </c>
      <c r="H47" s="30" t="s">
        <v>30</v>
      </c>
      <c r="I47" s="31" t="s">
        <v>158</v>
      </c>
      <c r="J47" s="32"/>
      <c r="K47" s="30" t="s">
        <v>30</v>
      </c>
      <c r="L47" s="30" t="s">
        <v>30</v>
      </c>
      <c r="M47" s="30" t="s">
        <v>30</v>
      </c>
      <c r="N47" s="30" t="s">
        <v>30</v>
      </c>
      <c r="O47" s="30" t="s">
        <v>30</v>
      </c>
      <c r="P47" s="30" t="s">
        <v>30</v>
      </c>
      <c r="Q47" s="30" t="s">
        <v>30</v>
      </c>
      <c r="R47" s="30" t="s">
        <v>30</v>
      </c>
      <c r="S47" s="30" t="s">
        <v>30</v>
      </c>
      <c r="T47" s="30" t="s">
        <v>30</v>
      </c>
      <c r="U47" s="30" t="s">
        <v>30</v>
      </c>
      <c r="V47" s="30" t="s">
        <v>30</v>
      </c>
      <c r="W47" s="30" t="s">
        <v>30</v>
      </c>
      <c r="X47" s="33" t="str">
        <f t="shared" si="6"/>
        <v>#REF!</v>
      </c>
      <c r="Y47" s="59"/>
      <c r="Z47" s="57"/>
      <c r="AA47" s="60"/>
      <c r="AB47" s="61"/>
      <c r="AC47" s="61"/>
    </row>
    <row r="48" ht="15.75" customHeight="1">
      <c r="A48" s="25">
        <f t="shared" si="7"/>
        <v>9</v>
      </c>
      <c r="B48" s="25">
        <f t="shared" si="8"/>
        <v>7</v>
      </c>
      <c r="C48" s="26" t="s">
        <v>46</v>
      </c>
      <c r="D48" s="27" t="s">
        <v>174</v>
      </c>
      <c r="E48" s="28" t="s">
        <v>29</v>
      </c>
      <c r="F48" s="28" t="s">
        <v>28</v>
      </c>
      <c r="G48" s="29" t="s">
        <v>71</v>
      </c>
      <c r="H48" s="42" t="s">
        <v>21</v>
      </c>
      <c r="I48" s="31" t="s">
        <v>158</v>
      </c>
      <c r="J48" s="3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33" t="str">
        <f t="shared" si="6"/>
        <v>#REF!</v>
      </c>
      <c r="Y48" s="59"/>
      <c r="Z48" s="57"/>
      <c r="AA48" s="60"/>
      <c r="AB48" s="61"/>
      <c r="AC48" s="61"/>
    </row>
    <row r="49" ht="15.75" customHeight="1">
      <c r="A49" s="25">
        <f t="shared" si="7"/>
        <v>9</v>
      </c>
      <c r="B49" s="25">
        <f t="shared" si="8"/>
        <v>9</v>
      </c>
      <c r="C49" s="26" t="s">
        <v>64</v>
      </c>
      <c r="D49" s="27" t="s">
        <v>175</v>
      </c>
      <c r="E49" s="28" t="s">
        <v>70</v>
      </c>
      <c r="F49" s="28" t="s">
        <v>41</v>
      </c>
      <c r="G49" s="29" t="s">
        <v>49</v>
      </c>
      <c r="H49" s="30" t="s">
        <v>30</v>
      </c>
      <c r="I49" s="31" t="s">
        <v>158</v>
      </c>
      <c r="J49" s="32"/>
      <c r="K49" s="30" t="s">
        <v>30</v>
      </c>
      <c r="L49" s="30" t="s">
        <v>30</v>
      </c>
      <c r="M49" s="30" t="s">
        <v>30</v>
      </c>
      <c r="N49" s="30" t="s">
        <v>30</v>
      </c>
      <c r="O49" s="30" t="s">
        <v>30</v>
      </c>
      <c r="P49" s="30" t="s">
        <v>30</v>
      </c>
      <c r="Q49" s="30" t="s">
        <v>30</v>
      </c>
      <c r="R49" s="30" t="s">
        <v>30</v>
      </c>
      <c r="S49" s="30" t="s">
        <v>30</v>
      </c>
      <c r="T49" s="30" t="s">
        <v>30</v>
      </c>
      <c r="U49" s="30" t="s">
        <v>30</v>
      </c>
      <c r="V49" s="30" t="s">
        <v>30</v>
      </c>
      <c r="W49" s="30" t="s">
        <v>30</v>
      </c>
      <c r="X49" s="33" t="str">
        <f t="shared" si="6"/>
        <v>#REF!</v>
      </c>
      <c r="Y49" s="59"/>
      <c r="Z49" s="57"/>
      <c r="AA49" s="60"/>
      <c r="AB49" s="61"/>
      <c r="AC49" s="61"/>
    </row>
    <row r="50" ht="15.75" customHeight="1">
      <c r="A50" s="25">
        <f t="shared" si="7"/>
        <v>9</v>
      </c>
      <c r="B50" s="25">
        <f t="shared" si="8"/>
        <v>10</v>
      </c>
      <c r="C50" s="26" t="s">
        <v>84</v>
      </c>
      <c r="D50" s="27" t="s">
        <v>177</v>
      </c>
      <c r="E50" s="28" t="s">
        <v>19</v>
      </c>
      <c r="F50" s="28" t="s">
        <v>70</v>
      </c>
      <c r="G50" s="29" t="s">
        <v>71</v>
      </c>
      <c r="H50" s="34" t="s">
        <v>21</v>
      </c>
      <c r="I50" s="31" t="s">
        <v>158</v>
      </c>
      <c r="J50" s="32"/>
      <c r="K50" s="30"/>
      <c r="L50" s="30" t="s">
        <v>21</v>
      </c>
      <c r="M50" s="30" t="s">
        <v>21</v>
      </c>
      <c r="N50" s="30"/>
      <c r="O50" s="30" t="s">
        <v>21</v>
      </c>
      <c r="P50" s="30"/>
      <c r="Q50" s="30"/>
      <c r="R50" s="30"/>
      <c r="S50" s="30"/>
      <c r="T50" s="30"/>
      <c r="U50" s="30"/>
      <c r="V50" s="30"/>
      <c r="W50" s="30"/>
      <c r="X50" s="33" t="str">
        <f t="shared" si="6"/>
        <v>#REF!</v>
      </c>
      <c r="Y50" s="59"/>
      <c r="Z50" s="57"/>
      <c r="AA50" s="60"/>
      <c r="AB50" s="61"/>
      <c r="AC50" s="61"/>
    </row>
    <row r="51" ht="15.75" customHeight="1">
      <c r="A51" s="25">
        <f t="shared" si="7"/>
        <v>11</v>
      </c>
      <c r="B51" s="25">
        <f t="shared" si="8"/>
        <v>6</v>
      </c>
      <c r="C51" s="26" t="s">
        <v>113</v>
      </c>
      <c r="D51" s="27" t="s">
        <v>180</v>
      </c>
      <c r="E51" s="28" t="s">
        <v>48</v>
      </c>
      <c r="F51" s="28" t="s">
        <v>28</v>
      </c>
      <c r="G51" s="29" t="s">
        <v>20</v>
      </c>
      <c r="H51" s="30" t="s">
        <v>21</v>
      </c>
      <c r="I51" s="31" t="s">
        <v>89</v>
      </c>
      <c r="J51" s="32" t="s">
        <v>68</v>
      </c>
      <c r="K51" s="30" t="s">
        <v>30</v>
      </c>
      <c r="L51" s="30" t="s">
        <v>30</v>
      </c>
      <c r="M51" s="30" t="s">
        <v>30</v>
      </c>
      <c r="N51" s="30" t="s">
        <v>30</v>
      </c>
      <c r="O51" s="30" t="s">
        <v>30</v>
      </c>
      <c r="P51" s="30" t="s">
        <v>30</v>
      </c>
      <c r="Q51" s="30" t="s">
        <v>30</v>
      </c>
      <c r="R51" s="30" t="s">
        <v>30</v>
      </c>
      <c r="S51" s="30" t="s">
        <v>30</v>
      </c>
      <c r="T51" s="30" t="s">
        <v>30</v>
      </c>
      <c r="U51" s="30" t="s">
        <v>30</v>
      </c>
      <c r="V51" s="30" t="s">
        <v>30</v>
      </c>
      <c r="W51" s="30" t="s">
        <v>30</v>
      </c>
      <c r="X51" s="33" t="str">
        <f t="shared" si="6"/>
        <v>#REF!</v>
      </c>
      <c r="Y51" s="59"/>
      <c r="Z51" s="57"/>
      <c r="AA51" s="60"/>
      <c r="AB51" s="61"/>
      <c r="AC51" s="61"/>
    </row>
    <row r="52" ht="15.75" customHeight="1">
      <c r="A52" s="25">
        <f t="shared" si="7"/>
        <v>11</v>
      </c>
      <c r="B52" s="25">
        <f t="shared" si="8"/>
        <v>5</v>
      </c>
      <c r="C52" s="26" t="s">
        <v>184</v>
      </c>
      <c r="D52" s="27" t="s">
        <v>185</v>
      </c>
      <c r="E52" s="28" t="s">
        <v>70</v>
      </c>
      <c r="F52" s="28" t="s">
        <v>19</v>
      </c>
      <c r="G52" s="29" t="s">
        <v>71</v>
      </c>
      <c r="H52" s="30" t="s">
        <v>21</v>
      </c>
      <c r="I52" s="31" t="s">
        <v>89</v>
      </c>
      <c r="J52" s="32"/>
      <c r="K52" s="30"/>
      <c r="L52" s="30" t="s">
        <v>21</v>
      </c>
      <c r="M52" s="30" t="s">
        <v>21</v>
      </c>
      <c r="N52" s="30"/>
      <c r="O52" s="30" t="s">
        <v>21</v>
      </c>
      <c r="P52" s="30"/>
      <c r="Q52" s="30"/>
      <c r="R52" s="30"/>
      <c r="S52" s="30"/>
      <c r="T52" s="30"/>
      <c r="U52" s="30"/>
      <c r="V52" s="30"/>
      <c r="W52" s="30"/>
      <c r="X52" s="33" t="str">
        <f t="shared" si="6"/>
        <v>#REF!</v>
      </c>
      <c r="Y52" s="59"/>
      <c r="Z52" s="57"/>
      <c r="AA52" s="60"/>
      <c r="AB52" s="61"/>
      <c r="AC52" s="61"/>
    </row>
    <row r="53" ht="15.75" customHeight="1">
      <c r="A53" s="25">
        <f t="shared" si="7"/>
        <v>11</v>
      </c>
      <c r="B53" s="25">
        <f t="shared" si="8"/>
        <v>9</v>
      </c>
      <c r="C53" s="26" t="s">
        <v>64</v>
      </c>
      <c r="D53" s="27" t="s">
        <v>187</v>
      </c>
      <c r="E53" s="28" t="s">
        <v>61</v>
      </c>
      <c r="F53" s="28" t="s">
        <v>41</v>
      </c>
      <c r="G53" s="29" t="s">
        <v>163</v>
      </c>
      <c r="H53" s="30" t="s">
        <v>30</v>
      </c>
      <c r="I53" s="31" t="s">
        <v>89</v>
      </c>
      <c r="J53" s="32"/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3" t="str">
        <f t="shared" si="6"/>
        <v>#REF!</v>
      </c>
      <c r="Y53" s="59"/>
      <c r="Z53" s="57"/>
      <c r="AA53" s="60"/>
      <c r="AB53" s="61"/>
      <c r="AC53" s="61"/>
    </row>
    <row r="54" ht="15.75" customHeight="1">
      <c r="A54" s="25">
        <f t="shared" si="7"/>
        <v>12</v>
      </c>
      <c r="B54" s="25">
        <f t="shared" si="8"/>
        <v>7</v>
      </c>
      <c r="C54" s="26" t="s">
        <v>46</v>
      </c>
      <c r="D54" s="27" t="s">
        <v>188</v>
      </c>
      <c r="E54" s="28" t="s">
        <v>41</v>
      </c>
      <c r="F54" s="28" t="s">
        <v>61</v>
      </c>
      <c r="G54" s="29" t="s">
        <v>62</v>
      </c>
      <c r="H54" s="30" t="s">
        <v>21</v>
      </c>
      <c r="I54" s="31" t="s">
        <v>92</v>
      </c>
      <c r="J54" s="32" t="s">
        <v>189</v>
      </c>
      <c r="K54" s="30"/>
      <c r="L54" s="30" t="s">
        <v>24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3" t="str">
        <f t="shared" si="6"/>
        <v>#REF!</v>
      </c>
      <c r="Y54" s="59"/>
      <c r="Z54" s="57"/>
      <c r="AA54" s="60"/>
      <c r="AB54" s="61"/>
      <c r="AC54" s="61"/>
    </row>
    <row r="55" ht="15.75" customHeight="1">
      <c r="A55" s="25">
        <f t="shared" si="7"/>
        <v>12</v>
      </c>
      <c r="B55" s="25">
        <f t="shared" si="8"/>
        <v>6</v>
      </c>
      <c r="C55" s="26" t="s">
        <v>113</v>
      </c>
      <c r="D55" s="27" t="s">
        <v>190</v>
      </c>
      <c r="E55" s="28" t="s">
        <v>70</v>
      </c>
      <c r="F55" s="28" t="s">
        <v>48</v>
      </c>
      <c r="G55" s="29" t="s">
        <v>191</v>
      </c>
      <c r="H55" s="30" t="s">
        <v>21</v>
      </c>
      <c r="I55" s="31" t="s">
        <v>92</v>
      </c>
      <c r="J55" s="32" t="s">
        <v>192</v>
      </c>
      <c r="K55" s="30" t="s">
        <v>30</v>
      </c>
      <c r="L55" s="30" t="s">
        <v>30</v>
      </c>
      <c r="M55" s="30" t="s">
        <v>30</v>
      </c>
      <c r="N55" s="30" t="s">
        <v>30</v>
      </c>
      <c r="O55" s="30" t="s">
        <v>30</v>
      </c>
      <c r="P55" s="30" t="s">
        <v>30</v>
      </c>
      <c r="Q55" s="30" t="s">
        <v>30</v>
      </c>
      <c r="R55" s="30" t="s">
        <v>30</v>
      </c>
      <c r="S55" s="30" t="s">
        <v>30</v>
      </c>
      <c r="T55" s="30" t="s">
        <v>30</v>
      </c>
      <c r="U55" s="30" t="s">
        <v>30</v>
      </c>
      <c r="V55" s="30" t="s">
        <v>30</v>
      </c>
      <c r="W55" s="30" t="s">
        <v>30</v>
      </c>
      <c r="X55" s="33" t="str">
        <f t="shared" si="6"/>
        <v>#REF!</v>
      </c>
      <c r="Y55" s="59"/>
      <c r="Z55" s="57"/>
      <c r="AA55" s="60"/>
      <c r="AB55" s="61"/>
      <c r="AC55" s="61"/>
    </row>
    <row r="56" ht="15.75" customHeight="1">
      <c r="A56" s="25">
        <f t="shared" si="7"/>
        <v>12</v>
      </c>
      <c r="B56" s="25">
        <f t="shared" si="8"/>
        <v>8</v>
      </c>
      <c r="C56" s="26" t="s">
        <v>54</v>
      </c>
      <c r="D56" s="27" t="s">
        <v>193</v>
      </c>
      <c r="E56" s="28" t="s">
        <v>19</v>
      </c>
      <c r="F56" s="28"/>
      <c r="G56" s="29" t="s">
        <v>49</v>
      </c>
      <c r="H56" s="30" t="s">
        <v>30</v>
      </c>
      <c r="I56" s="31" t="s">
        <v>92</v>
      </c>
      <c r="J56" s="32" t="s">
        <v>194</v>
      </c>
      <c r="K56" s="30" t="s">
        <v>30</v>
      </c>
      <c r="L56" s="30" t="s">
        <v>30</v>
      </c>
      <c r="M56" s="30" t="s">
        <v>30</v>
      </c>
      <c r="N56" s="30" t="s">
        <v>30</v>
      </c>
      <c r="O56" s="30" t="s">
        <v>30</v>
      </c>
      <c r="P56" s="30" t="s">
        <v>30</v>
      </c>
      <c r="Q56" s="30" t="s">
        <v>30</v>
      </c>
      <c r="R56" s="30" t="s">
        <v>30</v>
      </c>
      <c r="S56" s="30" t="s">
        <v>30</v>
      </c>
      <c r="T56" s="30" t="s">
        <v>30</v>
      </c>
      <c r="U56" s="30" t="s">
        <v>30</v>
      </c>
      <c r="V56" s="30" t="s">
        <v>30</v>
      </c>
      <c r="W56" s="30" t="s">
        <v>30</v>
      </c>
      <c r="X56" s="33" t="str">
        <f t="shared" si="6"/>
        <v>#REF!</v>
      </c>
      <c r="Y56" s="59"/>
      <c r="Z56" s="57"/>
      <c r="AA56" s="60"/>
      <c r="AB56" s="61"/>
      <c r="AC56" s="61"/>
    </row>
    <row r="57" ht="15.75" customHeight="1">
      <c r="A57" s="25">
        <f t="shared" si="7"/>
        <v>12</v>
      </c>
      <c r="B57" s="25">
        <f t="shared" si="8"/>
        <v>6</v>
      </c>
      <c r="C57" s="26" t="s">
        <v>113</v>
      </c>
      <c r="D57" s="27" t="s">
        <v>196</v>
      </c>
      <c r="E57" s="28" t="s">
        <v>70</v>
      </c>
      <c r="F57" s="28" t="s">
        <v>61</v>
      </c>
      <c r="G57" s="29" t="s">
        <v>20</v>
      </c>
      <c r="H57" s="30" t="s">
        <v>21</v>
      </c>
      <c r="I57" s="31" t="s">
        <v>92</v>
      </c>
      <c r="J57" s="32" t="s">
        <v>197</v>
      </c>
      <c r="K57" s="30"/>
      <c r="L57" s="30" t="s">
        <v>21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3" t="str">
        <f t="shared" si="6"/>
        <v>#REF!</v>
      </c>
      <c r="Y57" s="59"/>
      <c r="Z57" s="57"/>
      <c r="AA57" s="60"/>
      <c r="AB57" s="61"/>
      <c r="AC57" s="61"/>
    </row>
    <row r="58" ht="15.75" customHeight="1">
      <c r="A58" s="25">
        <f t="shared" si="7"/>
        <v>12</v>
      </c>
      <c r="B58" s="25">
        <f t="shared" si="8"/>
        <v>9</v>
      </c>
      <c r="C58" s="26" t="s">
        <v>64</v>
      </c>
      <c r="D58" s="62" t="s">
        <v>198</v>
      </c>
      <c r="E58" s="28" t="s">
        <v>70</v>
      </c>
      <c r="F58" s="28" t="s">
        <v>61</v>
      </c>
      <c r="G58" s="29" t="s">
        <v>71</v>
      </c>
      <c r="H58" s="30" t="s">
        <v>30</v>
      </c>
      <c r="I58" s="31" t="s">
        <v>92</v>
      </c>
      <c r="J58" s="32" t="s">
        <v>199</v>
      </c>
      <c r="K58" s="30" t="s">
        <v>30</v>
      </c>
      <c r="L58" s="30" t="s">
        <v>21</v>
      </c>
      <c r="M58" s="30" t="s">
        <v>30</v>
      </c>
      <c r="N58" s="30" t="s">
        <v>30</v>
      </c>
      <c r="O58" s="30" t="s">
        <v>30</v>
      </c>
      <c r="P58" s="30" t="s">
        <v>30</v>
      </c>
      <c r="Q58" s="30" t="s">
        <v>30</v>
      </c>
      <c r="R58" s="30" t="s">
        <v>30</v>
      </c>
      <c r="S58" s="30" t="s">
        <v>30</v>
      </c>
      <c r="T58" s="30" t="s">
        <v>30</v>
      </c>
      <c r="U58" s="30" t="s">
        <v>30</v>
      </c>
      <c r="V58" s="30" t="s">
        <v>30</v>
      </c>
      <c r="W58" s="30" t="s">
        <v>30</v>
      </c>
      <c r="X58" s="33" t="str">
        <f t="shared" si="6"/>
        <v>#REF!</v>
      </c>
      <c r="Y58" s="59"/>
      <c r="Z58" s="57"/>
      <c r="AA58" s="60"/>
      <c r="AB58" s="61"/>
      <c r="AC58" s="61"/>
    </row>
    <row r="59" ht="15.75" customHeight="1">
      <c r="A59" s="25">
        <f t="shared" si="7"/>
        <v>12</v>
      </c>
      <c r="B59" s="25">
        <f t="shared" si="8"/>
        <v>10</v>
      </c>
      <c r="C59" s="26" t="s">
        <v>84</v>
      </c>
      <c r="D59" s="27" t="s">
        <v>200</v>
      </c>
      <c r="E59" s="28" t="s">
        <v>19</v>
      </c>
      <c r="F59" s="28" t="s">
        <v>70</v>
      </c>
      <c r="G59" s="29" t="s">
        <v>71</v>
      </c>
      <c r="H59" s="30" t="s">
        <v>21</v>
      </c>
      <c r="I59" s="31" t="s">
        <v>92</v>
      </c>
      <c r="J59" s="32" t="s">
        <v>199</v>
      </c>
      <c r="K59" s="30"/>
      <c r="L59" s="30" t="s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3" t="str">
        <f t="shared" si="6"/>
        <v>#REF!</v>
      </c>
      <c r="Y59" s="59"/>
      <c r="Z59" s="57"/>
      <c r="AA59" s="60"/>
      <c r="AB59" s="61"/>
      <c r="AC59" s="61"/>
    </row>
    <row r="60" ht="15.75" customHeight="1">
      <c r="A60" s="25">
        <f t="shared" si="7"/>
        <v>12</v>
      </c>
      <c r="B60" s="25">
        <f t="shared" si="8"/>
        <v>10</v>
      </c>
      <c r="C60" s="26" t="s">
        <v>84</v>
      </c>
      <c r="D60" s="27" t="s">
        <v>201</v>
      </c>
      <c r="E60" s="28" t="s">
        <v>19</v>
      </c>
      <c r="F60" s="28"/>
      <c r="G60" s="29" t="s">
        <v>62</v>
      </c>
      <c r="H60" s="30" t="s">
        <v>21</v>
      </c>
      <c r="I60" s="31" t="s">
        <v>92</v>
      </c>
      <c r="J60" s="32" t="s">
        <v>202</v>
      </c>
      <c r="K60" s="30"/>
      <c r="L60" s="63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3" t="str">
        <f t="shared" si="6"/>
        <v>#REF!</v>
      </c>
    </row>
    <row r="61" ht="15.75" customHeight="1">
      <c r="A61" s="25">
        <f t="shared" si="7"/>
        <v>12</v>
      </c>
      <c r="B61" s="25">
        <f t="shared" si="8"/>
        <v>10</v>
      </c>
      <c r="C61" s="26" t="s">
        <v>84</v>
      </c>
      <c r="D61" s="27" t="s">
        <v>203</v>
      </c>
      <c r="E61" s="28" t="s">
        <v>61</v>
      </c>
      <c r="F61" s="28" t="s">
        <v>41</v>
      </c>
      <c r="G61" s="29" t="s">
        <v>71</v>
      </c>
      <c r="H61" s="30" t="s">
        <v>30</v>
      </c>
      <c r="I61" s="31" t="s">
        <v>92</v>
      </c>
      <c r="J61" s="32" t="s">
        <v>204</v>
      </c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0" t="s">
        <v>30</v>
      </c>
      <c r="X61" s="33" t="str">
        <f t="shared" si="6"/>
        <v>#REF!</v>
      </c>
    </row>
    <row r="62" ht="15.75" customHeight="1">
      <c r="A62" s="25">
        <f t="shared" si="7"/>
        <v>12</v>
      </c>
      <c r="B62" s="25">
        <f t="shared" si="8"/>
        <v>9</v>
      </c>
      <c r="C62" s="26" t="s">
        <v>64</v>
      </c>
      <c r="D62" s="27" t="s">
        <v>205</v>
      </c>
      <c r="E62" s="28" t="s">
        <v>19</v>
      </c>
      <c r="F62" s="28"/>
      <c r="G62" s="29" t="s">
        <v>163</v>
      </c>
      <c r="H62" s="30" t="s">
        <v>30</v>
      </c>
      <c r="I62" s="31" t="s">
        <v>92</v>
      </c>
      <c r="J62" s="32"/>
      <c r="K62" s="30" t="s">
        <v>30</v>
      </c>
      <c r="L62" s="30" t="s">
        <v>30</v>
      </c>
      <c r="M62" s="30" t="s">
        <v>30</v>
      </c>
      <c r="N62" s="30" t="s">
        <v>30</v>
      </c>
      <c r="O62" s="30" t="s">
        <v>30</v>
      </c>
      <c r="P62" s="30" t="s">
        <v>30</v>
      </c>
      <c r="Q62" s="30" t="s">
        <v>30</v>
      </c>
      <c r="R62" s="30" t="s">
        <v>30</v>
      </c>
      <c r="S62" s="30" t="s">
        <v>30</v>
      </c>
      <c r="T62" s="30" t="s">
        <v>30</v>
      </c>
      <c r="U62" s="30" t="s">
        <v>30</v>
      </c>
      <c r="V62" s="30" t="s">
        <v>30</v>
      </c>
      <c r="W62" s="30" t="s">
        <v>30</v>
      </c>
      <c r="X62" s="33" t="str">
        <f t="shared" si="6"/>
        <v>#REF!</v>
      </c>
      <c r="Y62" s="64" t="s">
        <v>206</v>
      </c>
      <c r="Z62" s="4"/>
      <c r="AA62" s="4"/>
      <c r="AB62" s="4"/>
      <c r="AC62" s="5"/>
    </row>
    <row r="63" ht="15.75" customHeight="1">
      <c r="A63" s="25">
        <f t="shared" si="7"/>
        <v>12</v>
      </c>
      <c r="B63" s="25">
        <f t="shared" si="8"/>
        <v>10</v>
      </c>
      <c r="C63" s="26" t="s">
        <v>84</v>
      </c>
      <c r="D63" s="27" t="s">
        <v>207</v>
      </c>
      <c r="E63" s="28" t="s">
        <v>19</v>
      </c>
      <c r="F63" s="28"/>
      <c r="G63" s="29" t="s">
        <v>49</v>
      </c>
      <c r="H63" s="30" t="s">
        <v>30</v>
      </c>
      <c r="I63" s="31" t="s">
        <v>92</v>
      </c>
      <c r="J63" s="32"/>
      <c r="K63" s="30" t="s">
        <v>30</v>
      </c>
      <c r="L63" s="30" t="s">
        <v>30</v>
      </c>
      <c r="M63" s="30" t="s">
        <v>30</v>
      </c>
      <c r="N63" s="30" t="s">
        <v>30</v>
      </c>
      <c r="O63" s="30" t="s">
        <v>30</v>
      </c>
      <c r="P63" s="30" t="s">
        <v>30</v>
      </c>
      <c r="Q63" s="30" t="s">
        <v>30</v>
      </c>
      <c r="R63" s="30" t="s">
        <v>30</v>
      </c>
      <c r="S63" s="30" t="s">
        <v>30</v>
      </c>
      <c r="T63" s="30" t="s">
        <v>30</v>
      </c>
      <c r="U63" s="30" t="s">
        <v>30</v>
      </c>
      <c r="V63" s="30" t="s">
        <v>30</v>
      </c>
      <c r="W63" s="30" t="s">
        <v>30</v>
      </c>
      <c r="X63" s="33" t="str">
        <f t="shared" si="6"/>
        <v>#REF!</v>
      </c>
      <c r="Y63" s="65"/>
      <c r="Z63" s="4"/>
      <c r="AA63" s="4"/>
      <c r="AB63" s="4"/>
      <c r="AC63" s="5"/>
    </row>
    <row r="64" ht="15.75" customHeight="1">
      <c r="A64" s="25">
        <f t="shared" si="7"/>
        <v>13</v>
      </c>
      <c r="B64" s="25">
        <f t="shared" si="8"/>
        <v>8</v>
      </c>
      <c r="C64" s="26" t="s">
        <v>54</v>
      </c>
      <c r="D64" s="27" t="s">
        <v>208</v>
      </c>
      <c r="E64" s="28" t="s">
        <v>41</v>
      </c>
      <c r="F64" s="28" t="s">
        <v>56</v>
      </c>
      <c r="G64" s="29" t="s">
        <v>71</v>
      </c>
      <c r="H64" s="30" t="s">
        <v>21</v>
      </c>
      <c r="I64" s="31" t="s">
        <v>95</v>
      </c>
      <c r="J64" s="32" t="s">
        <v>210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3" t="str">
        <f t="shared" si="6"/>
        <v>#REF!</v>
      </c>
      <c r="Y64" s="65"/>
      <c r="Z64" s="4"/>
      <c r="AA64" s="4"/>
      <c r="AB64" s="4"/>
      <c r="AC64" s="5"/>
    </row>
    <row r="65" ht="15.75" customHeight="1">
      <c r="A65" s="25">
        <f t="shared" si="7"/>
        <v>13</v>
      </c>
      <c r="B65" s="25">
        <f t="shared" si="8"/>
        <v>9</v>
      </c>
      <c r="C65" s="26" t="s">
        <v>64</v>
      </c>
      <c r="D65" s="27" t="s">
        <v>211</v>
      </c>
      <c r="E65" s="28" t="s">
        <v>61</v>
      </c>
      <c r="F65" s="28" t="s">
        <v>19</v>
      </c>
      <c r="G65" s="29" t="s">
        <v>62</v>
      </c>
      <c r="H65" s="30" t="s">
        <v>21</v>
      </c>
      <c r="I65" s="31" t="s">
        <v>95</v>
      </c>
      <c r="J65" s="32" t="s">
        <v>210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3" t="str">
        <f t="shared" si="6"/>
        <v>#REF!</v>
      </c>
      <c r="Y65" s="65"/>
      <c r="Z65" s="4"/>
      <c r="AA65" s="4"/>
      <c r="AB65" s="4"/>
      <c r="AC65" s="5"/>
    </row>
    <row r="66" ht="1.5" customHeight="1">
      <c r="A66" s="25">
        <f t="shared" si="7"/>
        <v>13</v>
      </c>
      <c r="B66" s="25">
        <f t="shared" si="8"/>
        <v>10</v>
      </c>
      <c r="C66" s="26" t="s">
        <v>84</v>
      </c>
      <c r="D66" s="27" t="s">
        <v>213</v>
      </c>
      <c r="E66" s="28" t="s">
        <v>19</v>
      </c>
      <c r="F66" s="28"/>
      <c r="G66" s="29" t="s">
        <v>49</v>
      </c>
      <c r="H66" s="42" t="s">
        <v>21</v>
      </c>
      <c r="I66" s="31" t="s">
        <v>95</v>
      </c>
      <c r="J66" s="32" t="s">
        <v>210</v>
      </c>
      <c r="K66" s="30"/>
      <c r="L66" s="42"/>
      <c r="M66" s="30"/>
      <c r="N66" s="30"/>
      <c r="O66" s="42"/>
      <c r="P66" s="30"/>
      <c r="Q66" s="30"/>
      <c r="R66" s="42"/>
      <c r="S66" s="30"/>
      <c r="T66" s="30"/>
      <c r="U66" s="42"/>
      <c r="V66" s="30"/>
      <c r="W66" s="42"/>
      <c r="X66" s="33" t="str">
        <f t="shared" si="6"/>
        <v>#REF!</v>
      </c>
      <c r="Y66" s="65"/>
      <c r="Z66" s="4"/>
      <c r="AA66" s="4"/>
      <c r="AB66" s="4"/>
      <c r="AC66" s="5"/>
    </row>
    <row r="67" ht="15.75" customHeight="1">
      <c r="A67" s="25">
        <f t="shared" si="7"/>
        <v>13</v>
      </c>
      <c r="B67" s="25">
        <f t="shared" si="8"/>
        <v>8</v>
      </c>
      <c r="C67" s="26" t="s">
        <v>54</v>
      </c>
      <c r="D67" s="27" t="s">
        <v>215</v>
      </c>
      <c r="E67" s="28" t="s">
        <v>41</v>
      </c>
      <c r="F67" s="28" t="s">
        <v>76</v>
      </c>
      <c r="G67" s="29" t="s">
        <v>71</v>
      </c>
      <c r="H67" s="30" t="s">
        <v>21</v>
      </c>
      <c r="I67" s="31" t="s">
        <v>95</v>
      </c>
      <c r="J67" s="32" t="s">
        <v>216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3" t="str">
        <f t="shared" si="6"/>
        <v>#REF!</v>
      </c>
      <c r="Y67" s="65"/>
      <c r="Z67" s="4"/>
      <c r="AA67" s="4"/>
      <c r="AB67" s="4"/>
      <c r="AC67" s="5"/>
    </row>
    <row r="68" ht="15.75" customHeight="1">
      <c r="A68" s="25">
        <f t="shared" si="7"/>
        <v>15</v>
      </c>
      <c r="B68" s="25">
        <f t="shared" si="8"/>
        <v>9</v>
      </c>
      <c r="C68" s="26" t="s">
        <v>64</v>
      </c>
      <c r="D68" s="27" t="s">
        <v>217</v>
      </c>
      <c r="E68" s="28" t="s">
        <v>61</v>
      </c>
      <c r="F68" s="28" t="s">
        <v>70</v>
      </c>
      <c r="G68" s="29" t="s">
        <v>20</v>
      </c>
      <c r="H68" s="30" t="s">
        <v>30</v>
      </c>
      <c r="I68" s="31" t="s">
        <v>101</v>
      </c>
      <c r="J68" s="32" t="s">
        <v>68</v>
      </c>
      <c r="K68" s="30" t="s">
        <v>30</v>
      </c>
      <c r="L68" s="30" t="s">
        <v>30</v>
      </c>
      <c r="M68" s="30" t="s">
        <v>30</v>
      </c>
      <c r="N68" s="30" t="s">
        <v>30</v>
      </c>
      <c r="O68" s="30" t="s">
        <v>30</v>
      </c>
      <c r="P68" s="30" t="s">
        <v>30</v>
      </c>
      <c r="Q68" s="30" t="s">
        <v>30</v>
      </c>
      <c r="R68" s="30" t="s">
        <v>30</v>
      </c>
      <c r="S68" s="30" t="s">
        <v>30</v>
      </c>
      <c r="T68" s="30" t="s">
        <v>30</v>
      </c>
      <c r="U68" s="30" t="s">
        <v>30</v>
      </c>
      <c r="V68" s="30" t="s">
        <v>30</v>
      </c>
      <c r="W68" s="30" t="s">
        <v>30</v>
      </c>
      <c r="X68" s="33" t="str">
        <f t="shared" si="6"/>
        <v>#REF!</v>
      </c>
      <c r="Y68" s="65"/>
      <c r="Z68" s="4"/>
      <c r="AA68" s="4"/>
      <c r="AB68" s="4"/>
      <c r="AC68" s="5"/>
    </row>
    <row r="69" ht="15.75" customHeight="1">
      <c r="A69" s="25">
        <f t="shared" si="7"/>
        <v>15</v>
      </c>
      <c r="B69" s="25">
        <f t="shared" si="8"/>
        <v>8</v>
      </c>
      <c r="C69" s="26" t="s">
        <v>54</v>
      </c>
      <c r="D69" s="27" t="s">
        <v>218</v>
      </c>
      <c r="E69" s="28" t="s">
        <v>41</v>
      </c>
      <c r="F69" s="28" t="s">
        <v>56</v>
      </c>
      <c r="G69" s="29" t="s">
        <v>71</v>
      </c>
      <c r="H69" s="30" t="s">
        <v>30</v>
      </c>
      <c r="I69" s="31" t="s">
        <v>101</v>
      </c>
      <c r="J69" s="32" t="s">
        <v>85</v>
      </c>
      <c r="K69" s="30" t="s">
        <v>30</v>
      </c>
      <c r="L69" s="30" t="s">
        <v>30</v>
      </c>
      <c r="M69" s="30" t="s">
        <v>30</v>
      </c>
      <c r="N69" s="30" t="s">
        <v>30</v>
      </c>
      <c r="O69" s="30" t="s">
        <v>30</v>
      </c>
      <c r="P69" s="30" t="s">
        <v>30</v>
      </c>
      <c r="Q69" s="30" t="s">
        <v>30</v>
      </c>
      <c r="R69" s="30" t="s">
        <v>30</v>
      </c>
      <c r="S69" s="30" t="s">
        <v>30</v>
      </c>
      <c r="T69" s="30" t="s">
        <v>30</v>
      </c>
      <c r="U69" s="30" t="s">
        <v>30</v>
      </c>
      <c r="V69" s="30" t="s">
        <v>30</v>
      </c>
      <c r="W69" s="30" t="s">
        <v>30</v>
      </c>
      <c r="X69" s="33" t="str">
        <f>SUM( (COUNTIF(K69,"A") + (COUNTIF(K69,"T")/2) + (COUNTIF(K69,"O")/2) )+ (COUNTIF(L69,"A") + (COUNTIF(L69,"T")/2) + (COUNTIF(L69,"O")/2) )+ (COUNTIF(M69,"A") + (COUNTIF(M69,"T")/2) + (COUNTIF(M69,"O")/2) )+ (COUNTIF(N69,"A") + (COUNTIF(N69,"T")/2) + (COUNTIF(N69,"O")/2) )+ (COUNTIF(#REF!,"A") + (COUNTIF(#REF!,"T")/2) + (COUNTIF(#REF!,"O")/2) )+ (COUNTIF(O69,"A") + (COUNTIF(O69,"T")/2) + (COUNTIF(O69,"O")/2) )+ (COUNTIF(Q69,"A") + (COUNTIF(Q69,"T")/2) + (COUNTIF(Q69,"O")/2) )+ (COUNTIF(R69,"A") + (COUNTIF(R69,"T")/2) + (COUNTIF(R69,"O")/2) )+ (COUNTIF(S69,"A") + (COUNTIF(S69,"T")/2) + (COUNTIF(S69,"O")/2) )+ (COUNTIF(#REF!,"A") + (COUNTIF(#REF!,"T")/2) + (COUNTIF(#REF!,"O")/2) )+ (COUNTIF(T69,"A") + (COUNTIF(T69,"T")/2) + (COUNTIF(T69,"O")/2) )+ (COUNTIF(U69,"A") + (COUNTIF(U69,"T")/2) + (COUNTIF(U69,"O")/2) )+ (COUNTIF(V69,"A") + (COUNTIF(V69,"T")/2) + (COUNTIF(V69,"O")/2) ) )/$X$1</f>
        <v>#REF!</v>
      </c>
      <c r="Y69" s="65"/>
      <c r="Z69" s="4"/>
      <c r="AA69" s="4"/>
      <c r="AB69" s="4"/>
      <c r="AC69" s="5"/>
    </row>
    <row r="70" ht="15.75" customHeight="1">
      <c r="A70" s="25">
        <f t="shared" si="7"/>
        <v>15</v>
      </c>
      <c r="B70" s="25">
        <f t="shared" si="8"/>
        <v>10</v>
      </c>
      <c r="C70" s="26" t="s">
        <v>84</v>
      </c>
      <c r="D70" s="27" t="s">
        <v>220</v>
      </c>
      <c r="E70" s="28" t="s">
        <v>19</v>
      </c>
      <c r="F70" s="28" t="s">
        <v>41</v>
      </c>
      <c r="G70" s="29" t="s">
        <v>49</v>
      </c>
      <c r="H70" s="30" t="s">
        <v>30</v>
      </c>
      <c r="I70" s="31" t="s">
        <v>101</v>
      </c>
      <c r="J70" s="32" t="s">
        <v>85</v>
      </c>
      <c r="K70" s="30" t="s">
        <v>30</v>
      </c>
      <c r="L70" s="30" t="s">
        <v>30</v>
      </c>
      <c r="M70" s="30" t="s">
        <v>30</v>
      </c>
      <c r="N70" s="30" t="s">
        <v>30</v>
      </c>
      <c r="O70" s="30" t="s">
        <v>30</v>
      </c>
      <c r="P70" s="30" t="s">
        <v>30</v>
      </c>
      <c r="Q70" s="30" t="s">
        <v>30</v>
      </c>
      <c r="R70" s="30" t="s">
        <v>30</v>
      </c>
      <c r="S70" s="30" t="s">
        <v>30</v>
      </c>
      <c r="T70" s="30" t="s">
        <v>30</v>
      </c>
      <c r="U70" s="30" t="s">
        <v>30</v>
      </c>
      <c r="V70" s="30" t="s">
        <v>30</v>
      </c>
      <c r="W70" s="30" t="s">
        <v>30</v>
      </c>
      <c r="X70" s="33" t="str">
        <f t="shared" ref="X70:X100" si="9">SUM( (COUNTIF(K70,"A") + (COUNTIF(K70,"T")/2) + (COUNTIF(K70,"O")/2) )+ (COUNTIF(L70,"A") + (COUNTIF(L70,"T")/2) + (COUNTIF(L70,"O")/2) )+ (COUNTIF(M70,"A") + (COUNTIF(M70,"T")/2) + (COUNTIF(M70,"O")/2) )+ (COUNTIF(N70,"A") + (COUNTIF(N70,"T")/2) + (COUNTIF(N70,"O")/2) )+ (COUNTIF(O70,"A") + (COUNTIF(O70,"T")/2) + (COUNTIF(O70,"O")/2) )+ (COUNTIF(P70,"A") + (COUNTIF(P70,"T")/2) + (COUNTIF(P70,"O")/2) )+ (COUNTIF(Q70,"A") + (COUNTIF(Q70,"T")/2) + (COUNTIF(Q70,"O")/2) )+ (COUNTIF(R70,"A") + (COUNTIF(R70,"T")/2) + (COUNTIF(R70,"O")/2) )+ (COUNTIF(S70,"A") + (COUNTIF(S70,"T")/2) + (COUNTIF(S70,"O")/2) )+ (COUNTIF(#REF!,"A") + (COUNTIF(#REF!,"T")/2) + (COUNTIF(#REF!,"O")/2) )+ (COUNTIF(T70,"A") + (COUNTIF(T70,"T")/2) + (COUNTIF(T70,"O")/2) )+ (COUNTIF(U70,"A") + (COUNTIF(U70,"T")/2) + (COUNTIF(U70,"O")/2) )+ (COUNTIF(V70,"A") + (COUNTIF(V70,"T")/2) + (COUNTIF(V70,"O")/2) ) )/$X$1</f>
        <v>#REF!</v>
      </c>
      <c r="Y70" s="65"/>
      <c r="Z70" s="4"/>
      <c r="AA70" s="4"/>
      <c r="AB70" s="4"/>
      <c r="AC70" s="5"/>
    </row>
    <row r="71" ht="15.75" customHeight="1">
      <c r="A71" s="25">
        <f t="shared" si="7"/>
        <v>15</v>
      </c>
      <c r="B71" s="25">
        <f t="shared" si="8"/>
        <v>11</v>
      </c>
      <c r="C71" s="26" t="s">
        <v>79</v>
      </c>
      <c r="D71" s="27" t="s">
        <v>221</v>
      </c>
      <c r="E71" s="28" t="s">
        <v>19</v>
      </c>
      <c r="F71" s="28"/>
      <c r="G71" s="29" t="s">
        <v>62</v>
      </c>
      <c r="H71" s="30" t="s">
        <v>30</v>
      </c>
      <c r="I71" s="31" t="s">
        <v>101</v>
      </c>
      <c r="J71" s="32" t="s">
        <v>85</v>
      </c>
      <c r="K71" s="30" t="s">
        <v>30</v>
      </c>
      <c r="L71" s="30" t="s">
        <v>30</v>
      </c>
      <c r="M71" s="30" t="s">
        <v>30</v>
      </c>
      <c r="N71" s="30" t="s">
        <v>30</v>
      </c>
      <c r="O71" s="30" t="s">
        <v>30</v>
      </c>
      <c r="P71" s="30" t="s">
        <v>30</v>
      </c>
      <c r="Q71" s="30" t="s">
        <v>30</v>
      </c>
      <c r="R71" s="30" t="s">
        <v>30</v>
      </c>
      <c r="S71" s="30" t="s">
        <v>30</v>
      </c>
      <c r="T71" s="30" t="s">
        <v>30</v>
      </c>
      <c r="U71" s="30" t="s">
        <v>30</v>
      </c>
      <c r="V71" s="30" t="s">
        <v>30</v>
      </c>
      <c r="W71" s="30" t="s">
        <v>30</v>
      </c>
      <c r="X71" s="33" t="str">
        <f t="shared" si="9"/>
        <v>#REF!</v>
      </c>
      <c r="Y71" s="47"/>
      <c r="Z71" s="47"/>
      <c r="AA71" s="48"/>
      <c r="AB71" s="1"/>
      <c r="AC71" s="1"/>
    </row>
    <row r="72" ht="15.75" customHeight="1">
      <c r="A72" s="25">
        <f t="shared" si="7"/>
        <v>15</v>
      </c>
      <c r="B72" s="25">
        <f t="shared" si="8"/>
        <v>15</v>
      </c>
      <c r="C72" s="53" t="s">
        <v>222</v>
      </c>
      <c r="D72" s="54" t="s">
        <v>223</v>
      </c>
      <c r="E72" s="28" t="s">
        <v>19</v>
      </c>
      <c r="F72" s="28" t="s">
        <v>56</v>
      </c>
      <c r="G72" s="29" t="s">
        <v>71</v>
      </c>
      <c r="H72" s="30" t="s">
        <v>21</v>
      </c>
      <c r="I72" s="31" t="s">
        <v>224</v>
      </c>
      <c r="J72" s="32"/>
      <c r="K72" s="30"/>
      <c r="L72" s="30" t="s">
        <v>24</v>
      </c>
      <c r="M72" s="30" t="s">
        <v>24</v>
      </c>
      <c r="N72" s="30"/>
      <c r="O72" s="30" t="s">
        <v>24</v>
      </c>
      <c r="P72" s="30"/>
      <c r="Q72" s="30"/>
      <c r="R72" s="30"/>
      <c r="S72" s="30"/>
      <c r="T72" s="30"/>
      <c r="U72" s="30"/>
      <c r="V72" s="30"/>
      <c r="W72" s="30"/>
      <c r="X72" s="33" t="str">
        <f t="shared" si="9"/>
        <v>#REF!</v>
      </c>
      <c r="Y72" s="47"/>
      <c r="Z72" s="47"/>
      <c r="AA72" s="48"/>
      <c r="AB72" s="1"/>
      <c r="AC72" s="1"/>
    </row>
    <row r="73" ht="15.75" customHeight="1">
      <c r="A73" s="25">
        <f t="shared" si="7"/>
        <v>15</v>
      </c>
      <c r="B73" s="25">
        <f t="shared" si="8"/>
        <v>11</v>
      </c>
      <c r="C73" s="53" t="s">
        <v>79</v>
      </c>
      <c r="D73" s="54" t="s">
        <v>225</v>
      </c>
      <c r="E73" s="28" t="s">
        <v>19</v>
      </c>
      <c r="F73" s="28" t="s">
        <v>61</v>
      </c>
      <c r="G73" s="29" t="s">
        <v>149</v>
      </c>
      <c r="H73" s="30" t="s">
        <v>30</v>
      </c>
      <c r="I73" s="31" t="s">
        <v>224</v>
      </c>
      <c r="J73" s="32"/>
      <c r="K73" s="30" t="s">
        <v>30</v>
      </c>
      <c r="L73" s="30" t="s">
        <v>30</v>
      </c>
      <c r="M73" s="30" t="s">
        <v>30</v>
      </c>
      <c r="N73" s="30" t="s">
        <v>30</v>
      </c>
      <c r="O73" s="30" t="s">
        <v>30</v>
      </c>
      <c r="P73" s="30" t="s">
        <v>30</v>
      </c>
      <c r="Q73" s="30" t="s">
        <v>30</v>
      </c>
      <c r="R73" s="30" t="s">
        <v>30</v>
      </c>
      <c r="S73" s="30" t="s">
        <v>30</v>
      </c>
      <c r="T73" s="30" t="s">
        <v>30</v>
      </c>
      <c r="U73" s="30" t="s">
        <v>30</v>
      </c>
      <c r="V73" s="30" t="s">
        <v>30</v>
      </c>
      <c r="W73" s="30" t="s">
        <v>30</v>
      </c>
      <c r="X73" s="33" t="str">
        <f t="shared" si="9"/>
        <v>#REF!</v>
      </c>
      <c r="Y73" s="47"/>
      <c r="Z73" s="47"/>
      <c r="AA73" s="48"/>
      <c r="AB73" s="1"/>
      <c r="AC73" s="1"/>
    </row>
    <row r="74" ht="15.75" customHeight="1">
      <c r="A74" s="25">
        <f t="shared" si="7"/>
        <v>15</v>
      </c>
      <c r="B74" s="25">
        <f t="shared" si="8"/>
        <v>9</v>
      </c>
      <c r="C74" s="26" t="s">
        <v>64</v>
      </c>
      <c r="D74" s="27" t="s">
        <v>226</v>
      </c>
      <c r="E74" s="28" t="s">
        <v>56</v>
      </c>
      <c r="F74" s="28" t="s">
        <v>19</v>
      </c>
      <c r="G74" s="29" t="s">
        <v>227</v>
      </c>
      <c r="H74" s="30" t="s">
        <v>30</v>
      </c>
      <c r="I74" s="31" t="s">
        <v>101</v>
      </c>
      <c r="J74" s="32"/>
      <c r="K74" s="30" t="s">
        <v>30</v>
      </c>
      <c r="L74" s="30" t="s">
        <v>30</v>
      </c>
      <c r="M74" s="30" t="s">
        <v>30</v>
      </c>
      <c r="N74" s="30" t="s">
        <v>30</v>
      </c>
      <c r="O74" s="30" t="s">
        <v>30</v>
      </c>
      <c r="P74" s="30" t="s">
        <v>30</v>
      </c>
      <c r="Q74" s="30" t="s">
        <v>30</v>
      </c>
      <c r="R74" s="30" t="s">
        <v>30</v>
      </c>
      <c r="S74" s="30" t="s">
        <v>30</v>
      </c>
      <c r="T74" s="30" t="s">
        <v>30</v>
      </c>
      <c r="U74" s="30" t="s">
        <v>30</v>
      </c>
      <c r="V74" s="30" t="s">
        <v>30</v>
      </c>
      <c r="W74" s="30" t="s">
        <v>30</v>
      </c>
      <c r="X74" s="33" t="str">
        <f t="shared" si="9"/>
        <v>#REF!</v>
      </c>
      <c r="Y74" s="47"/>
      <c r="Z74" s="47"/>
      <c r="AA74" s="48"/>
      <c r="AB74" s="1"/>
      <c r="AC74" s="1"/>
    </row>
    <row r="75" ht="15.75" customHeight="1">
      <c r="A75" s="25">
        <f t="shared" si="7"/>
        <v>15</v>
      </c>
      <c r="B75" s="25">
        <f t="shared" si="8"/>
        <v>10</v>
      </c>
      <c r="C75" s="26" t="s">
        <v>84</v>
      </c>
      <c r="D75" s="66" t="s">
        <v>228</v>
      </c>
      <c r="E75" s="28" t="s">
        <v>61</v>
      </c>
      <c r="F75" s="28" t="s">
        <v>19</v>
      </c>
      <c r="G75" s="29" t="s">
        <v>71</v>
      </c>
      <c r="H75" s="30" t="s">
        <v>30</v>
      </c>
      <c r="I75" s="31" t="s">
        <v>101</v>
      </c>
      <c r="J75" s="32"/>
      <c r="K75" s="30" t="s">
        <v>30</v>
      </c>
      <c r="L75" s="30" t="s">
        <v>30</v>
      </c>
      <c r="M75" s="30" t="s">
        <v>30</v>
      </c>
      <c r="N75" s="30" t="s">
        <v>30</v>
      </c>
      <c r="O75" s="30" t="s">
        <v>30</v>
      </c>
      <c r="P75" s="30" t="s">
        <v>30</v>
      </c>
      <c r="Q75" s="30" t="s">
        <v>30</v>
      </c>
      <c r="R75" s="30" t="s">
        <v>30</v>
      </c>
      <c r="S75" s="30" t="s">
        <v>30</v>
      </c>
      <c r="T75" s="30" t="s">
        <v>30</v>
      </c>
      <c r="U75" s="30" t="s">
        <v>30</v>
      </c>
      <c r="V75" s="30" t="s">
        <v>30</v>
      </c>
      <c r="W75" s="30" t="s">
        <v>30</v>
      </c>
      <c r="X75" s="33" t="str">
        <f t="shared" si="9"/>
        <v>#REF!</v>
      </c>
      <c r="Y75" s="47"/>
      <c r="Z75" s="47"/>
      <c r="AA75" s="48"/>
      <c r="AB75" s="1"/>
      <c r="AC75" s="1"/>
    </row>
    <row r="76" ht="15.75" customHeight="1">
      <c r="A76" s="25">
        <f t="shared" si="7"/>
        <v>15</v>
      </c>
      <c r="B76" s="25">
        <f t="shared" si="8"/>
        <v>15</v>
      </c>
      <c r="C76" s="67"/>
      <c r="D76" s="68"/>
      <c r="E76" s="28"/>
      <c r="F76" s="28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3" t="str">
        <f t="shared" si="9"/>
        <v>#REF!</v>
      </c>
      <c r="Y76" s="47"/>
      <c r="Z76" s="47"/>
      <c r="AA76" s="48"/>
      <c r="AB76" s="1"/>
      <c r="AC76" s="1"/>
    </row>
    <row r="77" ht="15.75" customHeight="1">
      <c r="A77" s="25">
        <f t="shared" si="7"/>
        <v>15</v>
      </c>
      <c r="B77" s="25">
        <f t="shared" si="8"/>
        <v>15</v>
      </c>
      <c r="C77" s="67"/>
      <c r="D77" s="68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63"/>
      <c r="Q77" s="30"/>
      <c r="R77" s="30"/>
      <c r="S77" s="30"/>
      <c r="T77" s="30"/>
      <c r="U77" s="30"/>
      <c r="V77" s="30"/>
      <c r="W77" s="30"/>
      <c r="X77" s="33" t="str">
        <f t="shared" si="9"/>
        <v>#REF!</v>
      </c>
      <c r="Y77" s="47"/>
      <c r="Z77" s="47"/>
      <c r="AA77" s="48"/>
      <c r="AB77" s="1"/>
      <c r="AC77" s="1"/>
    </row>
    <row r="78" ht="15.75" customHeight="1">
      <c r="A78" s="25">
        <f t="shared" si="7"/>
        <v>15</v>
      </c>
      <c r="B78" s="25">
        <f t="shared" si="8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3" t="str">
        <f t="shared" si="9"/>
        <v>#REF!</v>
      </c>
      <c r="Y78" s="47"/>
      <c r="Z78" s="47"/>
      <c r="AA78" s="48"/>
      <c r="AB78" s="1"/>
      <c r="AC78" s="1"/>
    </row>
    <row r="79" ht="15.75" customHeight="1">
      <c r="A79" s="25">
        <f t="shared" si="7"/>
        <v>15</v>
      </c>
      <c r="B79" s="25">
        <f t="shared" si="8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3" t="str">
        <f t="shared" si="9"/>
        <v>#REF!</v>
      </c>
      <c r="Y79" s="47"/>
      <c r="Z79" s="47"/>
      <c r="AA79" s="48"/>
      <c r="AB79" s="1"/>
      <c r="AC79" s="1"/>
    </row>
    <row r="80" ht="15.75" customHeight="1">
      <c r="A80" s="25">
        <f t="shared" si="7"/>
        <v>15</v>
      </c>
      <c r="B80" s="25">
        <f t="shared" si="8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3" t="str">
        <f t="shared" si="9"/>
        <v>#REF!</v>
      </c>
      <c r="Y80" s="47"/>
      <c r="Z80" s="47"/>
      <c r="AA80" s="48"/>
      <c r="AB80" s="1"/>
      <c r="AC80" s="1"/>
    </row>
    <row r="81" ht="15.75" customHeight="1">
      <c r="A81" s="25">
        <f t="shared" si="7"/>
        <v>15</v>
      </c>
      <c r="B81" s="25">
        <f t="shared" si="8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3" t="str">
        <f t="shared" si="9"/>
        <v>#REF!</v>
      </c>
      <c r="Y81" s="47"/>
      <c r="Z81" s="47"/>
      <c r="AA81" s="48"/>
      <c r="AB81" s="1"/>
      <c r="AC81" s="1"/>
    </row>
    <row r="82" ht="15.75" customHeight="1">
      <c r="A82" s="25">
        <f t="shared" si="7"/>
        <v>15</v>
      </c>
      <c r="B82" s="25">
        <f t="shared" si="8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3" t="str">
        <f t="shared" si="9"/>
        <v>#REF!</v>
      </c>
      <c r="Y82" s="47"/>
      <c r="Z82" s="47"/>
      <c r="AA82" s="48"/>
      <c r="AB82" s="1"/>
      <c r="AC82" s="1"/>
    </row>
    <row r="83" ht="15.75" customHeight="1">
      <c r="A83" s="25">
        <f t="shared" si="7"/>
        <v>15</v>
      </c>
      <c r="B83" s="25">
        <f t="shared" si="8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3" t="str">
        <f t="shared" si="9"/>
        <v>#REF!</v>
      </c>
      <c r="Y83" s="47"/>
      <c r="Z83" s="47"/>
      <c r="AA83" s="48"/>
      <c r="AB83" s="1"/>
      <c r="AC83" s="1"/>
    </row>
    <row r="84" ht="15.75" customHeight="1">
      <c r="A84" s="25">
        <f t="shared" si="7"/>
        <v>15</v>
      </c>
      <c r="B84" s="25">
        <f t="shared" si="8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3" t="str">
        <f t="shared" si="9"/>
        <v>#REF!</v>
      </c>
      <c r="Y84" s="47"/>
      <c r="Z84" s="47"/>
      <c r="AA84" s="48"/>
      <c r="AB84" s="1"/>
      <c r="AC84" s="1"/>
    </row>
    <row r="85" ht="15.75" customHeight="1">
      <c r="A85" s="25">
        <f t="shared" si="7"/>
        <v>15</v>
      </c>
      <c r="B85" s="25">
        <f t="shared" si="8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3" t="str">
        <f t="shared" si="9"/>
        <v>#REF!</v>
      </c>
      <c r="Y85" s="47"/>
      <c r="Z85" s="47"/>
      <c r="AA85" s="48"/>
      <c r="AB85" s="1"/>
      <c r="AC85" s="1"/>
    </row>
    <row r="86" ht="15.75" customHeight="1">
      <c r="A86" s="25">
        <f t="shared" si="7"/>
        <v>15</v>
      </c>
      <c r="B86" s="25">
        <f t="shared" si="8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3" t="str">
        <f t="shared" si="9"/>
        <v>#REF!</v>
      </c>
      <c r="Y86" s="47"/>
      <c r="Z86" s="47"/>
      <c r="AA86" s="48"/>
      <c r="AB86" s="1"/>
      <c r="AC86" s="1"/>
    </row>
    <row r="87" ht="15.75" customHeight="1">
      <c r="A87" s="25">
        <f t="shared" si="7"/>
        <v>15</v>
      </c>
      <c r="B87" s="25">
        <f t="shared" si="8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3" t="str">
        <f t="shared" si="9"/>
        <v>#REF!</v>
      </c>
      <c r="Y87" s="47"/>
      <c r="Z87" s="47"/>
      <c r="AA87" s="48"/>
      <c r="AB87" s="1"/>
      <c r="AC87" s="1"/>
    </row>
    <row r="88" ht="15.75" customHeight="1">
      <c r="A88" s="25">
        <f t="shared" si="7"/>
        <v>15</v>
      </c>
      <c r="B88" s="25">
        <f t="shared" si="8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3" t="str">
        <f t="shared" si="9"/>
        <v>#REF!</v>
      </c>
      <c r="Y88" s="47"/>
      <c r="Z88" s="47"/>
      <c r="AA88" s="48"/>
      <c r="AB88" s="1"/>
      <c r="AC88" s="1"/>
    </row>
    <row r="89" ht="15.75" customHeight="1">
      <c r="A89" s="25">
        <f t="shared" si="7"/>
        <v>15</v>
      </c>
      <c r="B89" s="25">
        <f t="shared" si="8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3" t="str">
        <f t="shared" si="9"/>
        <v>#REF!</v>
      </c>
      <c r="Y89" s="47"/>
      <c r="Z89" s="47"/>
      <c r="AA89" s="48"/>
      <c r="AB89" s="1"/>
      <c r="AC89" s="1"/>
    </row>
    <row r="90" ht="15.75" customHeight="1">
      <c r="A90" s="25">
        <f t="shared" si="7"/>
        <v>15</v>
      </c>
      <c r="B90" s="25">
        <f t="shared" si="8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3" t="str">
        <f t="shared" si="9"/>
        <v>#REF!</v>
      </c>
      <c r="Y90" s="47"/>
      <c r="Z90" s="47"/>
      <c r="AA90" s="48"/>
      <c r="AB90" s="1"/>
      <c r="AC90" s="1"/>
    </row>
    <row r="91" ht="15.75" customHeight="1">
      <c r="A91" s="25">
        <f t="shared" si="7"/>
        <v>15</v>
      </c>
      <c r="B91" s="25">
        <f t="shared" si="8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3" t="str">
        <f t="shared" si="9"/>
        <v>#REF!</v>
      </c>
      <c r="Y91" s="47"/>
      <c r="Z91" s="47"/>
      <c r="AA91" s="48"/>
      <c r="AB91" s="1"/>
      <c r="AC91" s="1"/>
    </row>
    <row r="92" ht="15.75" customHeight="1">
      <c r="A92" s="25">
        <f t="shared" si="7"/>
        <v>15</v>
      </c>
      <c r="B92" s="25">
        <f t="shared" si="8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3" t="str">
        <f t="shared" si="9"/>
        <v>#REF!</v>
      </c>
      <c r="Y92" s="47"/>
      <c r="Z92" s="47"/>
      <c r="AA92" s="48"/>
      <c r="AB92" s="1"/>
      <c r="AC92" s="1"/>
    </row>
    <row r="93" ht="15.75" customHeight="1">
      <c r="A93" s="25">
        <f t="shared" si="7"/>
        <v>15</v>
      </c>
      <c r="B93" s="25">
        <f t="shared" si="8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3" t="str">
        <f t="shared" si="9"/>
        <v>#REF!</v>
      </c>
      <c r="Y93" s="47"/>
      <c r="Z93" s="47"/>
      <c r="AA93" s="48"/>
      <c r="AB93" s="1"/>
      <c r="AC93" s="1"/>
    </row>
    <row r="94" ht="15.75" customHeight="1">
      <c r="A94" s="25">
        <f t="shared" si="7"/>
        <v>15</v>
      </c>
      <c r="B94" s="25">
        <f t="shared" si="8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3" t="str">
        <f t="shared" si="9"/>
        <v>#REF!</v>
      </c>
      <c r="Y94" s="47"/>
      <c r="Z94" s="47"/>
      <c r="AA94" s="48"/>
      <c r="AB94" s="1"/>
      <c r="AC94" s="1"/>
    </row>
    <row r="95" ht="15.75" customHeight="1">
      <c r="A95" s="25">
        <f t="shared" si="7"/>
        <v>15</v>
      </c>
      <c r="B95" s="25">
        <f t="shared" si="8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3" t="str">
        <f t="shared" si="9"/>
        <v>#REF!</v>
      </c>
      <c r="Y95" s="47"/>
      <c r="Z95" s="47"/>
      <c r="AA95" s="48"/>
      <c r="AB95" s="1"/>
      <c r="AC95" s="1"/>
    </row>
    <row r="96" ht="15.75" customHeight="1">
      <c r="A96" s="25">
        <f t="shared" si="7"/>
        <v>15</v>
      </c>
      <c r="B96" s="25">
        <f t="shared" si="8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3" t="str">
        <f t="shared" si="9"/>
        <v>#REF!</v>
      </c>
      <c r="Y96" s="47"/>
      <c r="Z96" s="47"/>
      <c r="AA96" s="48"/>
      <c r="AB96" s="1"/>
      <c r="AC96" s="1"/>
    </row>
    <row r="97" ht="15.75" customHeight="1">
      <c r="A97" s="25">
        <f t="shared" si="7"/>
        <v>15</v>
      </c>
      <c r="B97" s="25">
        <f t="shared" si="8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3" t="str">
        <f t="shared" si="9"/>
        <v>#REF!</v>
      </c>
      <c r="Y97" s="47"/>
      <c r="Z97" s="47"/>
      <c r="AA97" s="48"/>
      <c r="AB97" s="1"/>
      <c r="AC97" s="1"/>
    </row>
    <row r="98" ht="15.75" customHeight="1">
      <c r="A98" s="25">
        <f t="shared" si="7"/>
        <v>15</v>
      </c>
      <c r="B98" s="25">
        <f t="shared" si="8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3" t="str">
        <f t="shared" si="9"/>
        <v>#REF!</v>
      </c>
      <c r="Y98" s="47"/>
      <c r="Z98" s="47"/>
      <c r="AA98" s="48"/>
      <c r="AB98" s="1"/>
      <c r="AC98" s="1"/>
    </row>
    <row r="99" ht="15.75" customHeight="1">
      <c r="A99" s="25">
        <f t="shared" si="7"/>
        <v>15</v>
      </c>
      <c r="B99" s="25">
        <f t="shared" si="8"/>
        <v>15</v>
      </c>
      <c r="C99" s="26"/>
      <c r="D99" s="27"/>
      <c r="E99" s="28"/>
      <c r="F99" s="28"/>
      <c r="G99" s="29"/>
      <c r="H99" s="30"/>
      <c r="I99" s="31"/>
      <c r="J99" s="32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3" t="str">
        <f t="shared" si="9"/>
        <v>#REF!</v>
      </c>
      <c r="Y99" s="47"/>
      <c r="Z99" s="47"/>
      <c r="AA99" s="48"/>
      <c r="AB99" s="1"/>
      <c r="AC99" s="1"/>
    </row>
    <row r="100" ht="15.75" customHeight="1">
      <c r="A100" s="25">
        <f t="shared" si="7"/>
        <v>15</v>
      </c>
      <c r="B100" s="25">
        <f t="shared" si="8"/>
        <v>15</v>
      </c>
      <c r="C100" s="26"/>
      <c r="D100" s="27"/>
      <c r="E100" s="28"/>
      <c r="F100" s="28"/>
      <c r="G100" s="29"/>
      <c r="H100" s="30"/>
      <c r="I100" s="31"/>
      <c r="J100" s="32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3" t="str">
        <f t="shared" si="9"/>
        <v>#REF!</v>
      </c>
      <c r="Y100" s="47"/>
      <c r="Z100" s="47"/>
      <c r="AA100" s="48"/>
      <c r="AB100" s="1"/>
      <c r="AC100" s="1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1" t="s">
        <v>229</v>
      </c>
      <c r="K101" s="72">
        <f>SUM(COUNTIF(K3:K100,"O")/2)</f>
        <v>0</v>
      </c>
      <c r="L101" s="72">
        <f t="shared" ref="L101:M101" si="10">SUM(COUNTIF(L3:L100,"A") + COUNTIF(L3:L100,"T") + (COUNTIF(L3:L100,"O")/2))</f>
        <v>12</v>
      </c>
      <c r="M101" s="72">
        <f t="shared" si="10"/>
        <v>14</v>
      </c>
      <c r="N101" s="72">
        <f>SUM(COUNTIF(N3:N100,"O")/2)</f>
        <v>0</v>
      </c>
      <c r="O101" s="72">
        <f t="shared" ref="O101:P101" si="11">SUM(COUNTIF(O3:O100,"A") + COUNTIF(O3:O100,"T") + (COUNTIF(O3:O100,"O")/2))</f>
        <v>10</v>
      </c>
      <c r="P101" s="72">
        <f t="shared" si="11"/>
        <v>0</v>
      </c>
      <c r="Q101" s="72">
        <f>SUM(COUNTIF(Q3:Q100,"O")/2)</f>
        <v>0</v>
      </c>
      <c r="R101" s="72">
        <f t="shared" ref="R101:S101" si="12">SUM(COUNTIF(R3:R100,"A") + COUNTIF(R3:R100,"T") + (COUNTIF(R3:R100,"O")/2))</f>
        <v>0</v>
      </c>
      <c r="S101" s="72">
        <f t="shared" si="12"/>
        <v>0</v>
      </c>
      <c r="T101" s="72">
        <f>SUM(COUNTIF(T3:T100,"O")/2)</f>
        <v>0</v>
      </c>
      <c r="U101" s="72">
        <f t="shared" ref="U101:V101" si="13">SUM(COUNTIF(U3:U100,"A") + COUNTIF(U3:U100,"T") + (COUNTIF(U3:U100,"O")/2))</f>
        <v>0</v>
      </c>
      <c r="V101" s="72">
        <f t="shared" si="13"/>
        <v>0</v>
      </c>
      <c r="W101" s="72">
        <f>SUM(COUNTIF(W3:W100,"O")/2)</f>
        <v>0</v>
      </c>
      <c r="X101" s="73">
        <f t="shared" ref="X101:X103" si="15">AVERAGE(K101,L101,N101,O101,P101,Q101,R101,T101,U101,W101)</f>
        <v>2.2</v>
      </c>
      <c r="Y101" s="74" t="s">
        <v>230</v>
      </c>
      <c r="Z101" s="42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75" t="s">
        <v>231</v>
      </c>
      <c r="K102" s="76">
        <f t="shared" ref="K102:W102" si="14">SUM(COUNTIF(K3:K100,"J"))</f>
        <v>0</v>
      </c>
      <c r="L102" s="76">
        <f t="shared" si="14"/>
        <v>7</v>
      </c>
      <c r="M102" s="76">
        <f t="shared" si="14"/>
        <v>3</v>
      </c>
      <c r="N102" s="76">
        <f t="shared" si="14"/>
        <v>0</v>
      </c>
      <c r="O102" s="76">
        <f t="shared" si="14"/>
        <v>5</v>
      </c>
      <c r="P102" s="76">
        <f t="shared" si="14"/>
        <v>0</v>
      </c>
      <c r="Q102" s="76">
        <f t="shared" si="14"/>
        <v>0</v>
      </c>
      <c r="R102" s="76">
        <f t="shared" si="14"/>
        <v>0</v>
      </c>
      <c r="S102" s="76">
        <f t="shared" si="14"/>
        <v>0</v>
      </c>
      <c r="T102" s="76">
        <f t="shared" si="14"/>
        <v>0</v>
      </c>
      <c r="U102" s="76">
        <f t="shared" si="14"/>
        <v>0</v>
      </c>
      <c r="V102" s="76">
        <f t="shared" si="14"/>
        <v>0</v>
      </c>
      <c r="W102" s="76">
        <f t="shared" si="14"/>
        <v>0</v>
      </c>
      <c r="X102" s="77">
        <f t="shared" si="15"/>
        <v>1.2</v>
      </c>
      <c r="Y102" s="74" t="s">
        <v>232</v>
      </c>
      <c r="Z102" s="42"/>
      <c r="AA102" s="47"/>
      <c r="AB102" s="47"/>
      <c r="AC102" s="47"/>
    </row>
    <row r="103" ht="15.75" customHeight="1">
      <c r="A103" s="69"/>
      <c r="B103" s="69"/>
      <c r="C103" s="2"/>
      <c r="D103" s="47"/>
      <c r="E103" s="70"/>
      <c r="F103" s="70"/>
      <c r="G103" s="70"/>
      <c r="H103" s="70"/>
      <c r="I103" s="44"/>
      <c r="J103" s="78" t="s">
        <v>233</v>
      </c>
      <c r="K103" s="79">
        <f t="shared" ref="K103:W103" si="16">SUM(COUNTIF(K3:K100,"F"))</f>
        <v>0</v>
      </c>
      <c r="L103" s="79">
        <f t="shared" si="16"/>
        <v>2</v>
      </c>
      <c r="M103" s="79">
        <f t="shared" si="16"/>
        <v>2</v>
      </c>
      <c r="N103" s="79">
        <f t="shared" si="16"/>
        <v>0</v>
      </c>
      <c r="O103" s="79">
        <f t="shared" si="16"/>
        <v>3</v>
      </c>
      <c r="P103" s="79">
        <f t="shared" si="16"/>
        <v>0</v>
      </c>
      <c r="Q103" s="79">
        <f t="shared" si="16"/>
        <v>0</v>
      </c>
      <c r="R103" s="79">
        <f t="shared" si="16"/>
        <v>0</v>
      </c>
      <c r="S103" s="79">
        <f t="shared" si="16"/>
        <v>0</v>
      </c>
      <c r="T103" s="79">
        <f t="shared" si="16"/>
        <v>0</v>
      </c>
      <c r="U103" s="79">
        <f t="shared" si="16"/>
        <v>0</v>
      </c>
      <c r="V103" s="79">
        <f t="shared" si="16"/>
        <v>0</v>
      </c>
      <c r="W103" s="79">
        <f t="shared" si="16"/>
        <v>0</v>
      </c>
      <c r="X103" s="80">
        <f t="shared" si="15"/>
        <v>0.5</v>
      </c>
      <c r="Y103" s="81" t="s">
        <v>234</v>
      </c>
      <c r="Z103" s="5"/>
      <c r="AA103" s="47"/>
      <c r="AB103" s="47"/>
      <c r="AC103" s="47"/>
    </row>
    <row r="104" ht="15.75" customHeight="1">
      <c r="A104" s="69"/>
      <c r="B104" s="69"/>
      <c r="C104" s="2"/>
      <c r="D104" s="47"/>
      <c r="E104" s="70"/>
      <c r="F104" s="70"/>
      <c r="G104" s="70"/>
      <c r="H104" s="70"/>
      <c r="I104" s="44"/>
      <c r="J104" s="82" t="s">
        <v>235</v>
      </c>
      <c r="K104" s="83"/>
      <c r="L104" s="84">
        <f t="shared" ref="L104:M104" si="17">(COUNTIF(L3:L100,"A") + COUNTIF(L3:L100,"T") + COUNTIF(L3:L100,"F") + COUNTIF(L3:L100,"J"))</f>
        <v>21</v>
      </c>
      <c r="M104" s="84">
        <f t="shared" si="17"/>
        <v>19</v>
      </c>
      <c r="N104" s="83"/>
      <c r="O104" s="84">
        <f t="shared" ref="O104:P104" si="18">(COUNTIF(O3:O100,"A") + COUNTIF(O3:O100,"T") + COUNTIF(O3:O100,"F") + COUNTIF(O3:O100,"J"))</f>
        <v>18</v>
      </c>
      <c r="P104" s="84">
        <f t="shared" si="18"/>
        <v>0</v>
      </c>
      <c r="Q104" s="83"/>
      <c r="R104" s="84">
        <f t="shared" ref="R104:S104" si="19">(COUNTIF(R3:R100,"A") + COUNTIF(R3:R100,"T") + COUNTIF(R3:R100,"F") + COUNTIF(R3:R100,"J"))</f>
        <v>0</v>
      </c>
      <c r="S104" s="84">
        <f t="shared" si="19"/>
        <v>0</v>
      </c>
      <c r="T104" s="83"/>
      <c r="U104" s="84">
        <f t="shared" ref="U104:V104" si="20">(COUNTIF(U3:U100,"A") + COUNTIF(U3:U100,"T") + COUNTIF(U3:U100,"F") + COUNTIF(U3:U100,"J"))</f>
        <v>0</v>
      </c>
      <c r="V104" s="84">
        <f t="shared" si="20"/>
        <v>0</v>
      </c>
      <c r="W104" s="83"/>
      <c r="X104" s="85">
        <f>AVERAGE(K104,L104,N104,O104,Q104,R104,T104,U104,W104)</f>
        <v>9.75</v>
      </c>
      <c r="Y104" s="81" t="s">
        <v>236</v>
      </c>
      <c r="Z104" s="5"/>
      <c r="AA104" s="47"/>
      <c r="AB104" s="47"/>
      <c r="AC104" s="47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100"/>
  <mergeCells count="39">
    <mergeCell ref="C1:I1"/>
    <mergeCell ref="K1:W1"/>
    <mergeCell ref="Y1:Z1"/>
    <mergeCell ref="AA1:AC1"/>
    <mergeCell ref="Z3:AC3"/>
    <mergeCell ref="Z4:AC4"/>
    <mergeCell ref="Z5:AC5"/>
    <mergeCell ref="Z6:AC6"/>
    <mergeCell ref="Z7:AC7"/>
    <mergeCell ref="Z8:AC8"/>
    <mergeCell ref="Z9:AC9"/>
    <mergeCell ref="Z10:AC10"/>
    <mergeCell ref="Y45:Z45"/>
    <mergeCell ref="AB45:AC45"/>
    <mergeCell ref="Y46:Z46"/>
    <mergeCell ref="Y47:Z47"/>
    <mergeCell ref="Y48:Z48"/>
    <mergeCell ref="Y49:Z49"/>
    <mergeCell ref="Y50:Z50"/>
    <mergeCell ref="Y51:Z51"/>
    <mergeCell ref="Y52:Z52"/>
    <mergeCell ref="Y69:AC69"/>
    <mergeCell ref="Y70:AC70"/>
    <mergeCell ref="Y62:AC62"/>
    <mergeCell ref="Y63:AC63"/>
    <mergeCell ref="Y64:AC64"/>
    <mergeCell ref="Y65:AC65"/>
    <mergeCell ref="Y66:AC66"/>
    <mergeCell ref="Y67:AC67"/>
    <mergeCell ref="Y68:AC68"/>
    <mergeCell ref="Y103:Z103"/>
    <mergeCell ref="Y104:Z104"/>
    <mergeCell ref="Y53:Z53"/>
    <mergeCell ref="Y54:Z54"/>
    <mergeCell ref="Y55:Z55"/>
    <mergeCell ref="Y56:Z56"/>
    <mergeCell ref="Y57:Z57"/>
    <mergeCell ref="Y58:Z58"/>
    <mergeCell ref="Y59:Z59"/>
  </mergeCells>
  <conditionalFormatting sqref="H67:H68 K67:X68 H71 K71:X71 H73:H75 K73:X75">
    <cfRule type="cellIs" dxfId="0" priority="1" operator="equal">
      <formula>"NP"</formula>
    </cfRule>
  </conditionalFormatting>
  <conditionalFormatting sqref="H3:H100 K3:W100 Y3:Y10">
    <cfRule type="cellIs" dxfId="0" priority="2" operator="equal">
      <formula>"NP"</formula>
    </cfRule>
  </conditionalFormatting>
  <conditionalFormatting sqref="AB47:AB49 AC47 AB51:AB53">
    <cfRule type="containsText" dxfId="1" priority="3" operator="containsText" text="Si">
      <formula>NOT(ISERROR(SEARCH(("Si"),(AB47))))</formula>
    </cfRule>
  </conditionalFormatting>
  <conditionalFormatting sqref="H3:H100 K3:W100 Y3:Y10 X67:X68 X71 X73:X75">
    <cfRule type="containsText" dxfId="2" priority="4" operator="containsText" text="A">
      <formula>NOT(ISERROR(SEARCH(("A"),(H3))))</formula>
    </cfRule>
  </conditionalFormatting>
  <conditionalFormatting sqref="H3:H100 K3:W100 Y3:Y10 X67:X68 X71 X73:X75">
    <cfRule type="containsText" dxfId="3" priority="5" operator="containsText" text="F">
      <formula>NOT(ISERROR(SEARCH(("F"),(H3))))</formula>
    </cfRule>
  </conditionalFormatting>
  <conditionalFormatting sqref="H3:H100 K3:W100 Y3:Y10 X67:X68 X71 X73:X75">
    <cfRule type="containsText" dxfId="4" priority="6" operator="containsText" text="J">
      <formula>NOT(ISERROR(SEARCH(("J"),(H3))))</formula>
    </cfRule>
  </conditionalFormatting>
  <conditionalFormatting sqref="H3:H100 K3:W100 Y3:Y10 X67:X68 X71 X73:X75">
    <cfRule type="containsText" dxfId="5" priority="7" operator="containsText" text="R">
      <formula>NOT(ISERROR(SEARCH(("R"),(H3))))</formula>
    </cfRule>
  </conditionalFormatting>
  <conditionalFormatting sqref="H3:H100 K3:W100 Y3:Y10 X67:X68 X71 X73:X75">
    <cfRule type="containsText" dxfId="6" priority="8" operator="containsText" text="L">
      <formula>NOT(ISERROR(SEARCH(("L"),(H3))))</formula>
    </cfRule>
  </conditionalFormatting>
  <conditionalFormatting sqref="AA24 AA26 AA47:AA59 AA71:AA100">
    <cfRule type="expression" dxfId="7" priority="9">
      <formula>AND(ISNUMBER(AA24),TRUNC(AA24)&lt;TODAY())</formula>
    </cfRule>
  </conditionalFormatting>
  <conditionalFormatting sqref="AA24 AA26 AA47:AA59 AA71:AA100">
    <cfRule type="expression" dxfId="8" priority="10">
      <formula>AND(ISNUMBER(AA24),TRUNC(AA24)&gt;TODAY())</formula>
    </cfRule>
  </conditionalFormatting>
  <conditionalFormatting sqref="AA24 AA26 AA47:AA59 AA71:AA100">
    <cfRule type="timePeriod" dxfId="9" priority="11" timePeriod="today"/>
  </conditionalFormatting>
  <conditionalFormatting sqref="AB47:AC59 AB71:AC100">
    <cfRule type="containsText" dxfId="7" priority="12" operator="containsText" text="No">
      <formula>NOT(ISERROR(SEARCH(("No"),(AB47))))</formula>
    </cfRule>
  </conditionalFormatting>
  <conditionalFormatting sqref="H3:H100 K3:W100 Y3:Y10 X67:X68 X71 X73:X75">
    <cfRule type="containsText" dxfId="10" priority="13" operator="containsText" text="T">
      <formula>NOT(ISERROR(SEARCH(("T"),(H3))))</formula>
    </cfRule>
  </conditionalFormatting>
  <conditionalFormatting sqref="AB47:AC59 AB71:AC100">
    <cfRule type="containsText" dxfId="1" priority="14" operator="containsText" text="Sí">
      <formula>NOT(ISERROR(SEARCH(("Sí"),(AB47))))</formula>
    </cfRule>
  </conditionalFormatting>
  <conditionalFormatting sqref="H3:H100 K3:W100 Y3:Y10 X67:X68 X71 X73:X75">
    <cfRule type="containsText" dxfId="11" priority="15" operator="containsText" text="O">
      <formula>NOT(ISERROR(SEARCH(("O"),(H3))))</formula>
    </cfRule>
  </conditionalFormatting>
  <conditionalFormatting sqref="K104:W104">
    <cfRule type="cellIs" dxfId="1" priority="16" operator="equal">
      <formula>"OK"</formula>
    </cfRule>
  </conditionalFormatting>
  <conditionalFormatting sqref="K104:W104">
    <cfRule type="cellIs" dxfId="7" priority="17" operator="equal">
      <formula>"NO"</formula>
    </cfRule>
  </conditionalFormatting>
  <conditionalFormatting sqref="X3:X100">
    <cfRule type="cellIs" dxfId="2" priority="18" operator="greaterThanOrEqual">
      <formula>"75%"</formula>
    </cfRule>
  </conditionalFormatting>
  <conditionalFormatting sqref="X3:X100">
    <cfRule type="cellIs" dxfId="12" priority="19" operator="lessThan">
      <formula>"50%"</formula>
    </cfRule>
  </conditionalFormatting>
  <conditionalFormatting sqref="H3:H100 K3:W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W59 K60 M60:W60 K61:W76 K77:O77 Q77:W77 K78:W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57"/>
    <col customWidth="1" min="4" max="4" width="12.29"/>
    <col customWidth="1" min="5" max="5" width="5.43"/>
    <col customWidth="1" min="6" max="6" width="14.0"/>
    <col customWidth="1" min="7" max="7" width="11.0"/>
    <col customWidth="1" min="8" max="17" width="5.86"/>
    <col customWidth="1" min="18" max="18" width="7.86"/>
    <col customWidth="1" min="19" max="20" width="12.29"/>
    <col customWidth="1" min="21" max="21" width="14.57"/>
    <col customWidth="1" min="22" max="22" width="7.29"/>
    <col customWidth="1" min="23" max="23" width="13.14"/>
    <col customWidth="1" min="24" max="26" width="8.71"/>
  </cols>
  <sheetData>
    <row r="1" ht="15.75" customHeight="1">
      <c r="A1" s="100" t="s">
        <v>0</v>
      </c>
      <c r="B1" s="101" t="s">
        <v>1</v>
      </c>
      <c r="C1" s="102" t="s">
        <v>2</v>
      </c>
      <c r="D1" s="4"/>
      <c r="E1" s="4"/>
      <c r="F1" s="5"/>
      <c r="G1" s="100"/>
      <c r="H1" s="103" t="s">
        <v>295</v>
      </c>
      <c r="I1" s="7"/>
      <c r="J1" s="7"/>
      <c r="K1" s="7"/>
      <c r="L1" s="7"/>
      <c r="M1" s="7"/>
      <c r="N1" s="7"/>
      <c r="O1" s="7"/>
      <c r="P1" s="7"/>
      <c r="Q1" s="8"/>
      <c r="R1" s="104">
        <v>9.0</v>
      </c>
      <c r="S1" s="151" t="s">
        <v>296</v>
      </c>
      <c r="T1" s="105"/>
      <c r="U1" s="100" t="s">
        <v>275</v>
      </c>
      <c r="V1" s="105"/>
      <c r="W1" s="105"/>
    </row>
    <row r="2" ht="15.75" customHeight="1">
      <c r="A2" s="106"/>
      <c r="B2" s="107"/>
      <c r="C2" s="107" t="s">
        <v>8</v>
      </c>
      <c r="D2" s="106" t="s">
        <v>9</v>
      </c>
      <c r="E2" s="108"/>
      <c r="F2" s="109" t="s">
        <v>14</v>
      </c>
      <c r="G2" s="106" t="s">
        <v>15</v>
      </c>
      <c r="H2" s="110">
        <v>43132.0</v>
      </c>
      <c r="I2" s="110">
        <v>43137.0</v>
      </c>
      <c r="J2" s="110">
        <v>43139.0</v>
      </c>
      <c r="K2" s="110">
        <v>43172.0</v>
      </c>
      <c r="L2" s="110">
        <v>43174.0</v>
      </c>
      <c r="M2" s="110">
        <v>43179.0</v>
      </c>
      <c r="N2" s="110">
        <v>43182.0</v>
      </c>
      <c r="O2" s="110">
        <v>43186.0</v>
      </c>
      <c r="P2" s="110">
        <v>43188.0</v>
      </c>
      <c r="Q2" s="112"/>
      <c r="R2" s="113" t="s">
        <v>16</v>
      </c>
      <c r="S2" s="105"/>
      <c r="T2" s="105"/>
      <c r="U2" s="100"/>
      <c r="W2" s="105"/>
    </row>
    <row r="3" ht="15.75" customHeight="1">
      <c r="A3" s="114">
        <f t="shared" ref="A3:A97" si="1">IF(F3="ALTM",1,IF(F3="1° P",2,IF(F3="1° P - 1°M",3,IF(F3="1° P - 2°M",4,IF(F3="2° P",5,IF(F3="2° P - 3°M",6,IF(F3="2° P - 4°M",7,IF(F3="1° PP",8,IF(F3="1° PP - 1°Pa",9,IF(F3="1° PP - 2°Pa",10,IF(F3="Espectro",11,IF(F3="Caballeria",12,IF(F3="FAZR",13,15)))))))))))))</f>
        <v>1</v>
      </c>
      <c r="B3" s="114">
        <f t="shared" ref="B3:B97" si="2">IF(C3="Cap.",1,IF(C3="Tte.",2,IF(C3="Alf.",3,IF(C3="SgtM.",4,IF(C3="Sgt1.",5,IF(C3="Sgt.",6,IF(C3="Cbo1.",7,IF(C3="Cbo.",8,IF(C3="Dis.",9,IF(C3="Inf.",10,IF(C3="Rct.",11,15)))))))))))</f>
        <v>2</v>
      </c>
      <c r="C3" s="107" t="s">
        <v>240</v>
      </c>
      <c r="D3" s="115" t="s">
        <v>18</v>
      </c>
      <c r="E3" s="116" t="str">
        <f t="shared" ref="E3:E5" si="3">image("http://www.zrarmy.com/images/ven.jpg", 1)</f>
        <v/>
      </c>
      <c r="F3" s="117" t="s">
        <v>22</v>
      </c>
      <c r="G3" s="115" t="s">
        <v>23</v>
      </c>
      <c r="H3" s="115" t="s">
        <v>21</v>
      </c>
      <c r="I3" s="115" t="s">
        <v>21</v>
      </c>
      <c r="J3" s="115" t="s">
        <v>21</v>
      </c>
      <c r="K3" s="115" t="s">
        <v>21</v>
      </c>
      <c r="L3" s="115" t="s">
        <v>21</v>
      </c>
      <c r="M3" s="115" t="s">
        <v>21</v>
      </c>
      <c r="N3" s="115" t="s">
        <v>21</v>
      </c>
      <c r="O3" s="115"/>
      <c r="P3" s="115"/>
      <c r="Q3" s="115"/>
      <c r="R3" s="118">
        <f t="shared" ref="R3:R17" si="4">SUM(IF(H3="A",1,IF(H3="T",1,0))+IF(I3="A",+1,IF(I3="T",1,0))+IF(J3="A",+1,IF(J3="T",1,0))+IF(K3="A",+1,IF(K3="T",1,0))+IF(L3="A",+1,IF(L3="T",1,0))+IF(M3="A",+1,IF(M3="T",1,0))+IF(N3="A",+1,IF(N3="T",1,0))+IF(O3="A",+1,IF(O3="T",1,0))+IF(P3="A",+1,IF(P3="T",1,0))+IF(Q3="A",+1,IF(Q3="T",1,0)))/$R$1</f>
        <v>0.7777777778</v>
      </c>
      <c r="S3" s="115" t="s">
        <v>21</v>
      </c>
      <c r="T3" s="122" t="s">
        <v>280</v>
      </c>
      <c r="U3" s="152" t="s">
        <v>77</v>
      </c>
      <c r="V3" s="94">
        <f>SUM(0,IF(F2="1° P - 1°M",+1,0), IF(F3="1° P - 1°M",+1,0), IF(F4="1° P - 1°M",+1,0), IF(F5="1° P - 1°M",+1,0), IF(F6="1° P - 1°M",+1,0), IF(F7="1° P - 1°M",+1,0), IF(F8="1° P - 1°M",+1,0), IF(F9="1° P - 1°M",+1,0), IF(F10="1° P - 1°M",+1,0), IF(F11="1° P - 1°M",+1,0), IF(F12="1° P - 1°M",+1,0), IF(F13="1° P - 1°M",+1,0), IF(F14="1° P - 1°M",+1,0), IF(F15="1° P - 1°M",+1,0), IF(F16="1° P - 1°M",+1,0), IF(F17="1° P - 1°M",+1,0), IF(F18="1° P - 1°M",+1,0), IF(F19="1° P - 1°M",+1,0), IF(F20="1° P - 1°M",+1,0), IF(F21="1° P - 1°M",+1,0), IF(F22="1° P - 1°M",+1,0), IF(F23="1° P - 1°M",+1,0), IF(F24="1° P - 1°M",+1,0), IF(F25="1° P - 1°M",+1,0), IF(F26="1° P - 1°M",+1,0), IF(F27="1° P - 1°M",+1,0), IF(F28="1° P - 1°M",+1,0), IF(F29="1° P - 1°M",+1,0), IF(F30="1° P - 1°M",+1,0), IF(F31="1° P - 1°M",+1,0), IF(F32="1° P - 1°M",+1,0), IF(F33="1° P - 1°M",+1,0), IF(F34="1° P - 1°M",+1,0), IF(F35="1° P - 1°M",+1,0), IF(F36="1° P - 1°M",+1,0), IF(F37="1° P - 1°M",+1,0), IF(F38="1° P - 1°M",+1,0), IF(F39="1° P - 1°M",+1,0), IF(F40="1° P - 1°M",+1,0), IF(F41="1° P - 1°M",+1,0), IF(F42="1° P - 1°M",+1,0), IF(F43="1° P - 1°M",+1,0), IF(F44="1° P - 1°M",+1,0), IF(F45="1° P - 1°M",+1,0), IF(F46="1° P - 1°M",+1,0), IF(F47="1° P - 1°M",+1,0), IF(F48="1° P - 1°M",+1,0), IF(F49="1° P - 1°M",+1,0), IF(F50="1° P - 1°M",+1,0), IF(F51="1° P - 1°M",+1,0), IF(F52="1° P - 1°M",+1,0), IF(F53="1° P - 1°M",+1,0), IF(F54="1° P - 1°M",+1,0), IF(F55="1° P - 1°M",+1,0), IF(F56="1° P - 1°M",+1,0), IF(F57="1° P - 1°M",+1,0), IF(F58="1° P - 1°M",+1,0), IF(F59="1° P - 1°M",+1,0), IF(F60="1° P - 1°M",+1,0), IF(F61="1° P - 1°M",+1,0), IF(F62="1° P - 1°M",+1,0), IF(F63="1° P - 1°M",+1,0), IF(F64="1° P - 1°M",+1,0), IF(F65="1° P - 1°M",+1,0), IF(F66="1° P - 1°M",+1,0), IF(F67="1° P - 1°M",+1,0), IF(F68="1° P - 1°M",+1,0), IF(F69="1° P - 1°M",+1,0), IF(F70="1° P - 1°M",+1,0), IF(F71="1° P - 1°M",+1,0), IF(F72="1° P - 1°M",+1,0), IF(F73="1° P - 1°M",+1,0), IF(F74="1° P - 1°M",+1,0), IF(F75="1° P - 1°M",+1,0), IF(F76="1° P - 1°M",+1,0), IF(F77="1° P - 1°M",+1,0), IF(F78="1° P - 1°M",+1,0), IF(F79="1° P - 1°M",+1,0), IF(F80="1° P - 1°M",+1,0), IF(F81="1° P - 1°M",+1,0), IF(F82="1° P - 1°M",+1,0), IF(F83="1° P - 1°M",+1,0), IF(F84="1° P - 1°M",+1,0), IF(F85="1° P - 1°M",+1,0), IF(F86="1° P - 1°M",+1,0), IF(F87="1° P - 1°M",+1,0), IF(F88="1° P - 1°M",+1,0), IF(F89="1° P - 1°M",+1,0), IF(F90="1° P - 1°M",+1,0), IF(F91="1° P - 1°M",+1,0), IF(F92="1° P - 1°M",+1,0), IF(F93="1° P - 1°M",+1,0), IF(F94="1° P - 1°M",+1,0), IF(F95="1° P - 1°M",+1,0), IF(F96="1° P - 1°M",+1,0), IF(F97="1° P - 1°M",+1,0), IF(F101="1° P - 1°M",+1,0), IF(F102="1° P - 1°M",+1,0), IF(F103="1° P - 1°M",+1,0))</f>
        <v>7</v>
      </c>
    </row>
    <row r="4" ht="15.75" customHeight="1">
      <c r="A4" s="114">
        <f t="shared" si="1"/>
        <v>1</v>
      </c>
      <c r="B4" s="114">
        <f t="shared" si="2"/>
        <v>1</v>
      </c>
      <c r="C4" s="107" t="s">
        <v>17</v>
      </c>
      <c r="D4" s="115" t="s">
        <v>35</v>
      </c>
      <c r="E4" s="116" t="str">
        <f t="shared" si="3"/>
        <v/>
      </c>
      <c r="F4" s="117" t="s">
        <v>22</v>
      </c>
      <c r="G4" s="121" t="s">
        <v>101</v>
      </c>
      <c r="H4" s="115" t="s">
        <v>30</v>
      </c>
      <c r="I4" s="115" t="s">
        <v>30</v>
      </c>
      <c r="J4" s="115" t="s">
        <v>30</v>
      </c>
      <c r="K4" s="115" t="s">
        <v>30</v>
      </c>
      <c r="L4" s="115" t="s">
        <v>30</v>
      </c>
      <c r="M4" s="115" t="s">
        <v>30</v>
      </c>
      <c r="N4" s="115" t="s">
        <v>30</v>
      </c>
      <c r="O4" s="115" t="s">
        <v>30</v>
      </c>
      <c r="P4" s="115" t="s">
        <v>30</v>
      </c>
      <c r="Q4" s="115" t="s">
        <v>30</v>
      </c>
      <c r="R4" s="118">
        <f t="shared" si="4"/>
        <v>0</v>
      </c>
      <c r="S4" s="115" t="s">
        <v>33</v>
      </c>
      <c r="T4" s="122" t="s">
        <v>281</v>
      </c>
      <c r="U4" s="152" t="s">
        <v>81</v>
      </c>
      <c r="V4" s="94">
        <f>SUM(0,IF(F3="1° P - 2°M",+1,0), IF(F4="1° P - 2°M",+1,0), IF(F5="1° P - 2°M",+1,0), IF(F6="1° P - 2°M",+1,0), IF(F7="1° P - 2°M",+1,0), IF(F8="1° P - 2°M",+1,0), IF(F9="1° P - 2°M",+1,0), IF(F10="1° P - 2°M",+1,0), IF(F11="1° P - 2°M",+1,0), IF(F12="1° P - 2°M",+1,0), IF(F13="1° P - 2°M",+1,0), IF(F14="1° P - 2°M",+1,0), IF(F15="1° P - 2°M",+1,0), IF(F16="1° P - 2°M",+1,0), IF(F17="1° P - 2°M",+1,0), IF(F18="1° P - 2°M",+1,0), IF(F19="1° P - 2°M",+1,0), IF(F20="1° P - 2°M",+1,0), IF(F21="1° P - 2°M",+1,0), IF(F22="1° P - 2°M",+1,0), IF(F23="1° P - 2°M",+1,0), IF(F24="1° P - 2°M",+1,0), IF(F25="1° P - 2°M",+1,0), IF(F26="1° P - 2°M",+1,0), IF(F27="1° P - 2°M",+1,0), IF(F28="1° P - 2°M",+1,0), IF(F29="1° P - 2°M",+1,0), IF(F30="1° P - 2°M",+1,0), IF(F31="1° P - 2°M",+1,0), IF(F32="1° P - 2°M",+1,0), IF(F33="1° P - 2°M",+1,0), IF(F34="1° P - 2°M",+1,0), IF(F35="1° P - 2°M",+1,0), IF(F36="1° P - 2°M",+1,0), IF(F37="1° P - 2°M",+1,0), IF(F38="1° P - 2°M",+1,0), IF(F39="1° P - 2°M",+1,0), IF(F40="1° P - 2°M",+1,0), IF(F41="1° P - 2°M",+1,0), IF(F42="1° P - 2°M",+1,0), IF(F43="1° P - 2°M",+1,0), IF(F44="1° P - 2°M",+1,0), IF(F45="1° P - 2°M",+1,0), IF(F46="1° P - 2°M",+1,0), IF(F47="1° P - 2°M",+1,0), IF(F48="1° P - 2°M",+1,0), IF(F49="1° P - 2°M",+1,0), IF(F50="1° P - 2°M",+1,0), IF(F51="1° P - 2°M",+1,0), IF(F52="1° P - 2°M",+1,0), IF(F53="1° P - 2°M",+1,0), IF(F54="1° P - 2°M",+1,0), IF(F55="1° P - 2°M",+1,0), IF(F56="1° P - 2°M",+1,0), IF(F57="1° P - 2°M",+1,0), IF(F58="1° P - 2°M",+1,0), IF(F59="1° P - 2°M",+1,0), IF(F60="1° P - 2°M",+1,0), IF(F61="1° P - 2°M",+1,0), IF(F62="1° P - 2°M",+1,0), IF(F63="1° P - 2°M",+1,0), IF(F64="1° P - 2°M",+1,0), IF(F65="1° P - 2°M",+1,0), IF(F66="1° P - 2°M",+1,0), IF(F67="1° P - 2°M",+1,0), IF(F68="1° P - 2°M",+1,0), IF(F69="1° P - 2°M",+1,0), IF(F70="1° P - 2°M",+1,0), IF(F71="1° P - 2°M",+1,0), IF(F72="1° P - 2°M",+1,0), IF(F73="1° P - 2°M",+1,0), IF(F74="1° P - 2°M",+1,0), IF(F75="1° P - 2°M",+1,0), IF(F76="1° P - 2°M",+1,0), IF(F77="1° P - 2°M",+1,0), IF(F78="1° P - 2°M",+1,0), IF(F79="1° P - 2°M",+1,0), IF(F80="1° P - 2°M",+1,0), IF(F81="1° P - 2°M",+1,0), IF(F82="1° P - 2°M",+1,0), IF(F83="1° P - 2°M",+1,0), IF(F84="1° P - 2°M",+1,0), IF(F85="1° P - 2°M",+1,0), IF(F86="1° P - 2°M",+1,0), IF(F87="1° P - 2°M",+1,0), IF(F88="1° P - 2°M",+1,0), IF(F89="1° P - 2°M",+1,0), IF(F90="1° P - 2°M",+1,0), IF(F91="1° P - 2°M",+1,0), IF(F92="1° P - 2°M",+1,0), IF(F93="1° P - 2°M",+1,0), IF(F94="1° P - 2°M",+1,0), IF(F95="1° P - 2°M",+1,0), IF(F96="1° P - 2°M",+1,0), IF(F97="1° P - 2°M",+1,0), IF(F101="1° P - 2°M",+1,0), IF(F102="1° P - 2°M",+1,0), IF(F103="1° P - 2°M",+1,0), IF(F104="1° P - 2°M",+1,0))</f>
        <v>6</v>
      </c>
    </row>
    <row r="5" ht="15.75" customHeight="1">
      <c r="A5" s="114">
        <f t="shared" si="1"/>
        <v>1</v>
      </c>
      <c r="B5" s="114">
        <f t="shared" si="2"/>
        <v>1</v>
      </c>
      <c r="C5" s="107" t="s">
        <v>17</v>
      </c>
      <c r="D5" s="115" t="s">
        <v>32</v>
      </c>
      <c r="E5" s="116" t="str">
        <f t="shared" si="3"/>
        <v/>
      </c>
      <c r="F5" s="117" t="s">
        <v>22</v>
      </c>
      <c r="G5" s="123" t="s">
        <v>101</v>
      </c>
      <c r="H5" s="115" t="s">
        <v>30</v>
      </c>
      <c r="I5" s="115" t="s">
        <v>30</v>
      </c>
      <c r="J5" s="115" t="s">
        <v>30</v>
      </c>
      <c r="K5" s="115" t="s">
        <v>30</v>
      </c>
      <c r="L5" s="115" t="s">
        <v>30</v>
      </c>
      <c r="M5" s="115" t="s">
        <v>30</v>
      </c>
      <c r="N5" s="115" t="s">
        <v>30</v>
      </c>
      <c r="O5" s="115" t="s">
        <v>30</v>
      </c>
      <c r="P5" s="115" t="s">
        <v>30</v>
      </c>
      <c r="Q5" s="115" t="s">
        <v>30</v>
      </c>
      <c r="R5" s="118">
        <f t="shared" si="4"/>
        <v>0</v>
      </c>
      <c r="S5" s="115" t="s">
        <v>24</v>
      </c>
      <c r="T5" s="122" t="s">
        <v>282</v>
      </c>
      <c r="U5" s="152" t="s">
        <v>300</v>
      </c>
      <c r="V5" s="94">
        <f>SUM(0,IF(F4="2° P - 3°M",+1,0), IF(F5="2° P - 3°M",+1,0), IF(F6="2° P - 3°M",+1,0), IF(F7="2° P - 3°M",+1,0), IF(F8="2° P - 3°M",+1,0), IF(F9="2° P - 3°M",+1,0), IF(F10="2° P - 3°M",+1,0), IF(F11="2° P - 3°M",+1,0), IF(F12="2° P - 3°M",+1,0), IF(F13="2° P - 3°M",+1,0), IF(F14="2° P - 3°M",+1,0), IF(F15="2° P - 3°M",+1,0), IF(F16="2° P - 3°M",+1,0), IF(F17="2° P - 3°M",+1,0), IF(F18="2° P - 3°M",+1,0), IF(F19="2° P - 3°M",+1,0), IF(F20="2° P - 3°M",+1,0), IF(F21="2° P - 3°M",+1,0), IF(F22="2° P - 3°M",+1,0), IF(F23="2° P - 3°M",+1,0), IF(F24="2° P - 3°M",+1,0), IF(F25="2° P - 3°M",+1,0), IF(F26="2° P - 3°M",+1,0), IF(F27="2° P - 3°M",+1,0), IF(F28="2° P - 3°M",+1,0), IF(F29="2° P - 3°M",+1,0), IF(F30="2° P - 3°M",+1,0), IF(F31="2° P - 3°M",+1,0), IF(F32="2° P - 3°M",+1,0), IF(F33="2° P - 3°M",+1,0), IF(F34="2° P - 3°M",+1,0), IF(F35="2° P - 3°M",+1,0), IF(F36="2° P - 3°M",+1,0), IF(F37="2° P - 3°M",+1,0), IF(F38="2° P - 3°M",+1,0), IF(F39="2° P - 3°M",+1,0), IF(F40="2° P - 3°M",+1,0), IF(F41="2° P - 3°M",+1,0), IF(F42="2° P - 3°M",+1,0), IF(F43="2° P - 3°M",+1,0), IF(F44="2° P - 3°M",+1,0), IF(F45="2° P - 3°M",+1,0), IF(F46="2° P - 3°M",+1,0), IF(F47="2° P - 3°M",+1,0), IF(F48="2° P - 3°M",+1,0), IF(F49="2° P - 3°M",+1,0), IF(F50="2° P - 3°M",+1,0), IF(F51="2° P - 3°M",+1,0), IF(F52="2° P - 3°M",+1,0), IF(F53="2° P - 3°M",+1,0), IF(F54="2° P - 3°M",+1,0), IF(F55="2° P - 3°M",+1,0), IF(F56="2° P - 3°M",+1,0), IF(F57="2° P - 3°M",+1,0), IF(F58="2° P - 3°M",+1,0), IF(F59="2° P - 3°M",+1,0), IF(F60="2° P - 3°M",+1,0), IF(F61="2° P - 3°M",+1,0), IF(F62="2° P - 3°M",+1,0), IF(F63="2° P - 3°M",+1,0), IF(F64="2° P - 3°M",+1,0), IF(F65="2° P - 3°M",+1,0), IF(F66="2° P - 3°M",+1,0), IF(F67="2° P - 3°M",+1,0), IF(F68="2° P - 3°M",+1,0), IF(F69="2° P - 3°M",+1,0), IF(F70="2° P - 3°M",+1,0), IF(F71="2° P - 3°M",+1,0), IF(F72="2° P - 3°M",+1,0), IF(F73="2° P - 3°M",+1,0), IF(F74="2° P - 3°M",+1,0), IF(F75="2° P - 3°M",+1,0), IF(F76="2° P - 3°M",+1,0), IF(F77="2° P - 3°M",+1,0), IF(F78="2° P - 3°M",+1,0), IF(F79="2° P - 3°M",+1,0), IF(F80="2° P - 3°M",+1,0), IF(F81="2° P - 3°M",+1,0), IF(F82="2° P - 3°M",+1,0), IF(F83="2° P - 3°M",+1,0), IF(F84="2° P - 3°M",+1,0), IF(F85="2° P - 3°M",+1,0), IF(F86="2° P - 3°M",+1,0), IF(F87="2° P - 3°M",+1,0), IF(F88="2° P - 3°M",+1,0), IF(F89="2° P - 3°M",+1,0), IF(F90="2° P - 3°M",+1,0), IF(F91="2° P - 3°M",+1,0), IF(F92="2° P - 3°M",+1,0), IF(F93="2° P - 3°M",+1,0), IF(F94="2° P - 3°M",+1,0), IF(F95="2° P - 3°M",+1,0), IF(F96="2° P - 3°M",+1,0), IF(F97="2° P - 3°M",+1,0), IF(F101="2° P - 3°M",+1,0), IF(F102="2° P - 3°M",+1,0), IF(F103="2° P - 3°M",+1,0), IF(F104="2° P - 3°M",+1,0), IF(F105="2° P - 3°M",+1,0))</f>
        <v>7</v>
      </c>
    </row>
    <row r="6" ht="15.75" customHeight="1">
      <c r="A6" s="114">
        <f t="shared" si="1"/>
        <v>1</v>
      </c>
      <c r="B6" s="114">
        <f t="shared" si="2"/>
        <v>3</v>
      </c>
      <c r="C6" s="107" t="s">
        <v>26</v>
      </c>
      <c r="D6" s="115" t="s">
        <v>27</v>
      </c>
      <c r="E6" s="116" t="str">
        <f>image("http://www.zrarmy.com/images/arg.png", 1)</f>
        <v/>
      </c>
      <c r="F6" s="109" t="s">
        <v>22</v>
      </c>
      <c r="G6" s="115" t="s">
        <v>101</v>
      </c>
      <c r="H6" s="115" t="s">
        <v>30</v>
      </c>
      <c r="I6" s="115" t="s">
        <v>30</v>
      </c>
      <c r="J6" s="115" t="s">
        <v>30</v>
      </c>
      <c r="K6" s="115" t="s">
        <v>30</v>
      </c>
      <c r="L6" s="115" t="s">
        <v>30</v>
      </c>
      <c r="M6" s="115" t="s">
        <v>30</v>
      </c>
      <c r="N6" s="115" t="s">
        <v>30</v>
      </c>
      <c r="O6" s="115" t="s">
        <v>30</v>
      </c>
      <c r="P6" s="115" t="s">
        <v>30</v>
      </c>
      <c r="Q6" s="115" t="s">
        <v>30</v>
      </c>
      <c r="R6" s="118">
        <f t="shared" si="4"/>
        <v>0</v>
      </c>
      <c r="S6" s="115" t="s">
        <v>37</v>
      </c>
      <c r="T6" s="122" t="s">
        <v>38</v>
      </c>
      <c r="U6" s="152" t="s">
        <v>301</v>
      </c>
      <c r="V6" s="94">
        <f>SUM(0,IF(F5="2° P - 4°M",+1,0), IF(F6="2° P - 4°M",+1,0), IF(F7="2° P - 4°M",+1,0), IF(F8="2° P - 4°M",+1,0), IF(F9="2° P - 4°M",+1,0), IF(F10="2° P - 4°M",+1,0), IF(F11="2° P - 4°M",+1,0), IF(F12="2° P - 4°M",+1,0), IF(F13="2° P - 4°M",+1,0), IF(F14="2° P - 4°M",+1,0), IF(F15="2° P - 4°M",+1,0), IF(F16="2° P - 4°M",+1,0), IF(F17="2° P - 4°M",+1,0), IF(F18="2° P - 4°M",+1,0), IF(F19="2° P - 4°M",+1,0), IF(F20="2° P - 4°M",+1,0), IF(F21="2° P - 4°M",+1,0), IF(F22="2° P - 4°M",+1,0), IF(F23="2° P - 4°M",+1,0), IF(F24="2° P - 4°M",+1,0), IF(F25="2° P - 4°M",+1,0), IF(F26="2° P - 4°M",+1,0), IF(F27="2° P - 4°M",+1,0), IF(F28="2° P - 4°M",+1,0), IF(F29="2° P - 4°M",+1,0), IF(F30="2° P - 4°M",+1,0), IF(F31="2° P - 4°M",+1,0), IF(F32="2° P - 4°M",+1,0), IF(F33="2° P - 4°M",+1,0), IF(F34="2° P - 4°M",+1,0), IF(F35="2° P - 4°M",+1,0), IF(F36="2° P - 4°M",+1,0), IF(F37="2° P - 4°M",+1,0), IF(F38="2° P - 4°M",+1,0), IF(F39="2° P - 4°M",+1,0), IF(F40="2° P - 4°M",+1,0), IF(F41="2° P - 4°M",+1,0), IF(F42="2° P - 4°M",+1,0), IF(F43="2° P - 4°M",+1,0), IF(F44="2° P - 4°M",+1,0), IF(F45="2° P - 4°M",+1,0), IF(F46="2° P - 4°M",+1,0), IF(F47="2° P - 4°M",+1,0), IF(F48="2° P - 4°M",+1,0), IF(F49="2° P - 4°M",+1,0), IF(F50="2° P - 4°M",+1,0), IF(F51="2° P - 4°M",+1,0), IF(F52="2° P - 4°M",+1,0), IF(F53="2° P - 4°M",+1,0), IF(F54="2° P - 4°M",+1,0), IF(F55="2° P - 4°M",+1,0), IF(F56="2° P - 4°M",+1,0), IF(F57="2° P - 4°M",+1,0), IF(F58="2° P - 4°M",+1,0), IF(F59="2° P - 4°M",+1,0), IF(F60="2° P - 4°M",+1,0), IF(F61="2° P - 4°M",+1,0), IF(F62="2° P - 4°M",+1,0), IF(F63="2° P - 4°M",+1,0), IF(F64="2° P - 4°M",+1,0), IF(F65="2° P - 4°M",+1,0), IF(F66="2° P - 4°M",+1,0), IF(F67="2° P - 4°M",+1,0), IF(F68="2° P - 4°M",+1,0), IF(F69="2° P - 4°M",+1,0), IF(F70="2° P - 4°M",+1,0), IF(F71="2° P - 4°M",+1,0), IF(F72="2° P - 4°M",+1,0), IF(F73="2° P - 4°M",+1,0), IF(F74="2° P - 4°M",+1,0), IF(F75="2° P - 4°M",+1,0), IF(F76="2° P - 4°M",+1,0), IF(F77="2° P - 4°M",+1,0), IF(F78="2° P - 4°M",+1,0), IF(F79="2° P - 4°M",+1,0), IF(F80="2° P - 4°M",+1,0), IF(F81="2° P - 4°M",+1,0), IF(F82="2° P - 4°M",+1,0), IF(F83="2° P - 4°M",+1,0), IF(F84="2° P - 4°M",+1,0), IF(F85="2° P - 4°M",+1,0), IF(F86="2° P - 4°M",+1,0), IF(F87="2° P - 4°M",+1,0), IF(F88="2° P - 4°M",+1,0), IF(F89="2° P - 4°M",+1,0), IF(F90="2° P - 4°M",+1,0), IF(F91="2° P - 4°M",+1,0), IF(F92="2° P - 4°M",+1,0), IF(F93="2° P - 4°M",+1,0), IF(F94="2° P - 4°M",+1,0), IF(F95="2° P - 4°M",+1,0), IF(F96="2° P - 4°M",+1,0), IF(F97="2° P - 4°M",+1,0), IF(F101="2° P - 4°M",+1,0), IF(F102="2° P - 4°M",+1,0), IF(F103="2° P - 4°M",+1,0), IF(F104="2° P - 4°M",+1,0), IF(F105="2° P - 4°M",+1,0), IF(F106="2° P - 4°M",+1,0))</f>
        <v>8</v>
      </c>
    </row>
    <row r="7" ht="15.75" customHeight="1">
      <c r="A7" s="114">
        <f t="shared" si="1"/>
        <v>2</v>
      </c>
      <c r="B7" s="114">
        <f t="shared" si="2"/>
        <v>6</v>
      </c>
      <c r="C7" s="107" t="s">
        <v>113</v>
      </c>
      <c r="D7" s="115" t="s">
        <v>40</v>
      </c>
      <c r="E7" s="116" t="str">
        <f t="shared" ref="E7:E8" si="5">image("http://www.zrarmy.com/images/pan.jpg", 1)</f>
        <v/>
      </c>
      <c r="F7" s="109" t="s">
        <v>42</v>
      </c>
      <c r="G7" s="115" t="s">
        <v>43</v>
      </c>
      <c r="H7" s="115" t="s">
        <v>24</v>
      </c>
      <c r="I7" s="115" t="s">
        <v>24</v>
      </c>
      <c r="J7" s="115" t="s">
        <v>24</v>
      </c>
      <c r="K7" s="115" t="s">
        <v>24</v>
      </c>
      <c r="L7" s="115" t="s">
        <v>24</v>
      </c>
      <c r="M7" s="115" t="s">
        <v>24</v>
      </c>
      <c r="N7" s="115" t="s">
        <v>21</v>
      </c>
      <c r="O7" s="115" t="s">
        <v>24</v>
      </c>
      <c r="P7" s="115"/>
      <c r="Q7" s="115"/>
      <c r="R7" s="118">
        <f t="shared" si="4"/>
        <v>0.1111111111</v>
      </c>
      <c r="S7" s="115" t="s">
        <v>30</v>
      </c>
      <c r="T7" s="122" t="s">
        <v>101</v>
      </c>
      <c r="U7" s="152" t="s">
        <v>86</v>
      </c>
      <c r="V7" s="94">
        <f>SUM(0,IF(F6="1° PP - 1°Pa",+1,0), IF(F7="1° PP - 1°Pa",+1,0), IF(F8="1° PP - 1°Pa",+1,0), IF(F9="1° PP - 1°Pa",+1,0), IF(F10="1° PP - 1°Pa",+1,0), IF(F11="1° PP - 1°Pa",+1,0), IF(F12="1° PP - 1°Pa",+1,0), IF(F13="1° PP - 1°Pa",+1,0), IF(F14="1° PP - 1°Pa",+1,0), IF(F15="1° PP - 1°Pa",+1,0), IF(F16="1° PP - 1°Pa",+1,0), IF(F17="1° PP - 1°Pa",+1,0), IF(F18="1° PP - 1°Pa",+1,0), IF(F19="1° PP - 1°Pa",+1,0), IF(F20="1° PP - 1°Pa",+1,0), IF(F21="1° PP - 1°Pa",+1,0), IF(F22="1° PP - 1°Pa",+1,0), IF(F23="1° PP - 1°Pa",+1,0), IF(F24="1° PP - 1°Pa",+1,0), IF(F25="1° PP - 1°Pa",+1,0), IF(F26="1° PP - 1°Pa",+1,0), IF(F27="1° PP - 1°Pa",+1,0), IF(F28="1° PP - 1°Pa",+1,0), IF(F29="1° PP - 1°Pa",+1,0), IF(F30="1° PP - 1°Pa",+1,0), IF(F31="1° PP - 1°Pa",+1,0), IF(F32="1° PP - 1°Pa",+1,0), IF(F33="1° PP - 1°Pa",+1,0), IF(F34="1° PP - 1°Pa",+1,0), IF(F35="1° PP - 1°Pa",+1,0), IF(F36="1° PP - 1°Pa",+1,0), IF(F37="1° PP - 1°Pa",+1,0), IF(F38="1° PP - 1°Pa",+1,0), IF(F39="1° PP - 1°Pa",+1,0), IF(F40="1° PP - 1°Pa",+1,0), IF(F41="1° PP - 1°Pa",+1,0), IF(F42="1° PP - 1°Pa",+1,0), IF(F43="1° PP - 1°Pa",+1,0), IF(F44="1° PP - 1°Pa",+1,0), IF(F45="1° PP - 1°Pa",+1,0), IF(F46="1° PP - 1°Pa",+1,0), IF(F47="1° PP - 1°Pa",+1,0), IF(F48="1° PP - 1°Pa",+1,0), IF(F49="1° PP - 1°Pa",+1,0), IF(F50="1° PP - 1°Pa",+1,0), IF(F51="1° PP - 1°Pa",+1,0), IF(F52="1° PP - 1°Pa",+1,0), IF(F53="1° PP - 1°Pa",+1,0), IF(F54="1° PP - 1°Pa",+1,0), IF(F55="1° PP - 1°Pa",+1,0), IF(F56="1° PP - 1°Pa",+1,0), IF(F57="1° PP - 1°Pa",+1,0), IF(F58="1° PP - 1°Pa",+1,0), IF(F59="1° PP - 1°Pa",+1,0), IF(F60="1° PP - 1°Pa",+1,0), IF(F61="1° PP - 1°Pa",+1,0), IF(F62="1° PP - 1°Pa",+1,0), IF(F63="1° PP - 1°Pa",+1,0), IF(F64="1° PP - 1°Pa",+1,0), IF(F65="1° PP - 1°Pa",+1,0), IF(F66="1° PP - 1°Pa",+1,0), IF(F67="1° PP - 1°Pa",+1,0), IF(F68="1° PP - 1°Pa",+1,0), IF(F69="1° PP - 1°Pa",+1,0), IF(F70="1° PP - 1°Pa",+1,0), IF(F71="1° PP - 1°Pa",+1,0), IF(F72="1° PP - 1°Pa",+1,0), IF(F73="1° PP - 1°Pa",+1,0), IF(F74="1° PP - 1°Pa",+1,0), IF(F75="1° PP - 1°Pa",+1,0), IF(F76="1° PP - 1°Pa",+1,0), IF(F77="1° PP - 1°Pa",+1,0), IF(F78="1° PP - 1°Pa",+1,0), IF(F79="1° PP - 1°Pa",+1,0), IF(F80="1° PP - 1°Pa",+1,0), IF(F81="1° PP - 1°Pa",+1,0), IF(F82="1° PP - 1°Pa",+1,0), IF(F83="1° PP - 1°Pa",+1,0), IF(F84="1° PP - 1°Pa",+1,0), IF(F85="1° PP - 1°Pa",+1,0), IF(F86="1° PP - 1°Pa",+1,0), IF(F87="1° PP - 1°Pa",+1,0), IF(F88="1° PP - 1°Pa",+1,0), IF(F89="1° PP - 1°Pa",+1,0), IF(F90="1° PP - 1°Pa",+1,0), IF(F91="1° PP - 1°Pa",+1,0), IF(F92="1° PP - 1°Pa",+1,0), IF(F93="1° PP - 1°Pa",+1,0), IF(F94="1° PP - 1°Pa",+1,0), IF(F95="1° PP - 1°Pa",+1,0), IF(F96="1° PP - 1°Pa",+1,0), IF(F97="1° PP - 1°Pa",+1,0), IF(F101="1° PP - 1°Pa",+1,0), IF(F102="1° PP - 1°Pa",+1,0), IF(F103="1° PP - 1°Pa",+1,0), IF(F104="1° PP - 1°Pa",+1,0), IF(F105="1° PP - 1°Pa",+1,0), IF(F106="1° PP - 1°Pa",+1,0), IF(F107="1° PP - 1°Pa",+1,0))</f>
        <v>6</v>
      </c>
    </row>
    <row r="8" ht="15.75" customHeight="1">
      <c r="A8" s="114">
        <f t="shared" si="1"/>
        <v>3</v>
      </c>
      <c r="B8" s="114">
        <f t="shared" si="2"/>
        <v>8</v>
      </c>
      <c r="C8" s="107" t="s">
        <v>54</v>
      </c>
      <c r="D8" s="115" t="s">
        <v>103</v>
      </c>
      <c r="E8" s="116" t="str">
        <f t="shared" si="5"/>
        <v/>
      </c>
      <c r="F8" s="109" t="s">
        <v>50</v>
      </c>
      <c r="G8" s="115" t="s">
        <v>51</v>
      </c>
      <c r="H8" s="115" t="s">
        <v>24</v>
      </c>
      <c r="I8" s="115" t="s">
        <v>24</v>
      </c>
      <c r="J8" s="115" t="s">
        <v>24</v>
      </c>
      <c r="K8" s="115" t="s">
        <v>24</v>
      </c>
      <c r="L8" s="115" t="s">
        <v>24</v>
      </c>
      <c r="M8" s="115" t="s">
        <v>24</v>
      </c>
      <c r="N8" s="115" t="s">
        <v>24</v>
      </c>
      <c r="O8" s="115" t="s">
        <v>24</v>
      </c>
      <c r="P8" s="115"/>
      <c r="Q8" s="115"/>
      <c r="R8" s="118">
        <f t="shared" si="4"/>
        <v>0</v>
      </c>
      <c r="S8" s="115" t="s">
        <v>52</v>
      </c>
      <c r="T8" s="122" t="s">
        <v>283</v>
      </c>
      <c r="U8" s="152" t="s">
        <v>89</v>
      </c>
      <c r="V8" s="94">
        <f>SUM(0,IF(F7="Espectro",+1,0), IF(F8="Espectro",+1,0), IF(F9="Espectro",+1,0), IF(F10="Espectro",+1,0), IF(F11="Espectro",+1,0), IF(F12="Espectro",+1,0), IF(F13="Espectro",+1,0), IF(F14="Espectro",+1,0), IF(F15="Espectro",+1,0), IF(F16="Espectro",+1,0), IF(F17="Espectro",+1,0), IF(F18="Espectro",+1,0), IF(F19="Espectro",+1,0), IF(F20="Espectro",+1,0), IF(F21="Espectro",+1,0), IF(F22="Espectro",+1,0), IF(F23="Espectro",+1,0), IF(F24="Espectro",+1,0), IF(F25="Espectro",+1,0), IF(F26="Espectro",+1,0), IF(F27="Espectro",+1,0), IF(F28="Espectro",+1,0), IF(F29="Espectro",+1,0), IF(F30="Espectro",+1,0), IF(F31="Espectro",+1,0), IF(F32="Espectro",+1,0), IF(F33="Espectro",+1,0), IF(F34="Espectro",+1,0), IF(F35="Espectro",+1,0), IF(F36="Espectro",+1,0), IF(F37="Espectro",+1,0), IF(F38="Espectro",+1,0), IF(F39="Espectro",+1,0), IF(F40="Espectro",+1,0), IF(F41="Espectro",+1,0), IF(F42="Espectro",+1,0), IF(F43="Espectro",+1,0), IF(F44="Espectro",+1,0), IF(F45="Espectro",+1,0), IF(F46="Espectro",+1,0), IF(F47="Espectro",+1,0), IF(F48="Espectro",+1,0), IF(F49="Espectro",+1,0), IF(F50="Espectro",+1,0), IF(F51="Espectro",+1,0), IF(F52="Espectro",+1,0), IF(F53="Espectro",+1,0), IF(F54="Espectro",+1,0), IF(F55="Espectro",+1,0), IF(F56="Espectro",+1,0), IF(F57="Espectro",+1,0), IF(F58="Espectro",+1,0), IF(F59="Espectro",+1,0), IF(F60="Espectro",+1,0), IF(F61="Espectro",+1,0), IF(F62="Espectro",+1,0), IF(F63="Espectro",+1,0), IF(F64="Espectro",+1,0), IF(F65="Espectro",+1,0), IF(F66="Espectro",+1,0), IF(F67="Espectro",+1,0), IF(F68="Espectro",+1,0), IF(F69="Espectro",+1,0), IF(F70="Espectro",+1,0), IF(F71="Espectro",+1,0), IF(F72="Espectro",+1,0), IF(F73="Espectro",+1,0), IF(F74="Espectro",+1,0), IF(F75="Espectro",+1,0), IF(F76="Espectro",+1,0), IF(F77="Espectro",+1,0), IF(F78="Espectro",+1,0), IF(F79="Espectro",+1,0), IF(F80="Espectro",+1,0), IF(F81="Espectro",+1,0), IF(F82="Espectro",+1,0), IF(F83="Espectro",+1,0), IF(F84="Espectro",+1,0), IF(F85="Espectro",+1,0), IF(F86="Espectro",+1,0), IF(F87="Espectro",+1,0), IF(F88="Espectro",+1,0), IF(F89="Espectro",+1,0), IF(F90="Espectro",+1,0), IF(F91="Espectro",+1,0), IF(F92="Espectro",+1,0), IF(F93="Espectro",+1,0), IF(F94="Espectro",+1,0), IF(F95="Espectro",+1,0), IF(F96="Espectro",+1,0), IF(F97="Espectro",+1,0), IF(F101="Espectro",+1,0), IF(F102="Espectro",+1,0), IF(F103="Espectro",+1,0), IF(F104="Espectro",+1,0), IF(F105="Espectro",+1,0), IF(F106="Espectro",+1,0), IF(F107="Espectro",+1,0), IF(F108="Espectro",+1,0))</f>
        <v>3</v>
      </c>
    </row>
    <row r="9" ht="15.75" customHeight="1">
      <c r="A9" s="114">
        <f t="shared" si="1"/>
        <v>3</v>
      </c>
      <c r="B9" s="114">
        <f t="shared" si="2"/>
        <v>10</v>
      </c>
      <c r="C9" s="107" t="s">
        <v>84</v>
      </c>
      <c r="D9" s="115" t="s">
        <v>305</v>
      </c>
      <c r="E9" s="108"/>
      <c r="F9" s="109" t="s">
        <v>50</v>
      </c>
      <c r="G9" s="115" t="s">
        <v>57</v>
      </c>
      <c r="H9" s="115" t="s">
        <v>21</v>
      </c>
      <c r="I9" s="115" t="s">
        <v>21</v>
      </c>
      <c r="J9" s="115" t="s">
        <v>21</v>
      </c>
      <c r="K9" s="115" t="s">
        <v>21</v>
      </c>
      <c r="L9" s="115" t="s">
        <v>21</v>
      </c>
      <c r="M9" s="115" t="s">
        <v>21</v>
      </c>
      <c r="N9" s="115" t="s">
        <v>21</v>
      </c>
      <c r="O9" s="115" t="s">
        <v>21</v>
      </c>
      <c r="P9" s="115"/>
      <c r="Q9" s="115"/>
      <c r="R9" s="118">
        <f t="shared" si="4"/>
        <v>0.8888888889</v>
      </c>
      <c r="S9" s="158" t="s">
        <v>306</v>
      </c>
      <c r="T9" s="94">
        <f>SUM(0,IF(G1="Reserva",+1,0), IF(G2="Reserva",+1,0), IF(G3="Reserva",+1,0), IF(G4="Reserva",+1,0), IF(G5="Reserva",+1,0), IF(G6="Reserva",+1,0), IF(G7="Reserva",+1,0), IF(G8="Reserva",+1,0), IF(G9="Reserva",+1,0), IF(G10="Reserva",+1,0), IF(G11="Reserva",+1,0), IF(G12="Reserva",+1,0), IF(G13="Reserva",+1,0), IF(G14="Reserva",+1,0), IF(G15="Reserva",+1,0), IF(G16="Reserva",+1,0), IF(G17="Reserva",+1,0), IF(G18="Reserva",+1,0), IF(G19="Reserva",+1,0), IF(G20="Reserva",+1,0), IF(G21="Reserva",+1,0), IF(G22="Reserva",+1,0), IF(G23="Reserva",+1,0), IF(G24="Reserva",+1,0), IF(G25="Reserva",+1,0), IF(G26="Reserva",+1,0), IF(G27="Reserva",+1,0), IF(G28="Reserva",+1,0), IF(G29="Reserva",+1,0), IF(G30="Reserva",+1,0), IF(G31="Reserva",+1,0), IF(G32="Reserva",+1,0), IF(G33="Reserva",+1,0), IF(G34="Reserva",+1,0), IF(G35="Reserva",+1,0), IF(G36="Reserva",+1,0), IF(G37="Reserva",+1,0), IF(G38="Reserva",+1,0), IF(G39="Reserva",+1,0), IF(G40="Reserva",+1,0), IF(G41="Reserva",+1,0), IF(G42="Reserva",+1,0), IF(G43="Reserva",+1,0), IF(G44="Reserva",+1,0), IF(G45="Reserva",+1,0), IF(G46="Reserva",+1,0), IF(G47="Reserva",+1,0), IF(G48="Reserva",+1,0), IF(G49="Reserva",+1,0), IF(G50="Reserva",+1,0), IF(G51="Reserva",+1,0), IF(G52="Reserva",+1,0), IF(G53="Reserva",+1,0), IF(G54="Reserva",+1,0), IF(G55="Reserva",+1,0), IF(G56="Reserva",+1,0), IF(G57="Reserva",+1,0), IF(G58="Reserva",+1,0), IF(G59="Reserva",+1,0), IF(G60="Reserva",+1,0), IF(G61="Reserva",+1,0), IF(G62="Reserva",+1,0), IF(G63="Reserva",+1,0), IF(G64="Reserva",+1,0), IF(G65="Reserva",+1,0), IF(G66="Reserva",+1,0), IF(G67="Reserva",+1,0), IF(G68="Reserva",+1,0), IF(G69="Reserva",+1,0), IF(G70="Reserva",+1,0), IF(G71="Reserva",+1,0), IF(G72="Reserva",+1,0), IF(G73="Reserva",+1,0), IF(G74="Reserva",+1,0), IF(G75="Reserva",+1,0), IF(G76="Reserva",+1,0), IF(G77="Reserva",+1,0), IF(G78="Reserva",+1,0), IF(G79="Reserva",+1,0), IF(G80="Reserva",+1,0), IF(G81="Reserva",+1,0), IF(G82="Reserva",+1,0), IF(G83="Reserva",+1,0), IF(G84="Reserva",+1,0), IF(G85="Reserva",+1,0), IF(G86="Reserva",+1,0), IF(G87="Reserva",+1,0), IF(G88="Reserva",+1,0), IF(G89="Reserva",+1,0), IF(G90="Reserva",+1,0), IF(G91="Reserva",+1,0), IF(G92="Reserva",+1,0), IF(G93="Reserva",+1,0), IF(G94="Reserva",+1,0), IF(G95="Reserva",+1,0), IF(G96="Reserva",+1,0), IF(G97="Reserva",+1,0), IF(G101="Reserva",+1,0), IF(G102="Reserva",+1,0))</f>
        <v>18</v>
      </c>
      <c r="U9" s="152" t="s">
        <v>92</v>
      </c>
      <c r="V9" s="94">
        <f>SUM(0,IF(F8="Caballeria",+1,0), IF(F9="Caballeria",+1,0), IF(F10="Caballeria",+1,0), IF(F11="Caballeria",+1,0), IF(F12="Caballeria",+1,0), IF(F13="Caballeria",+1,0), IF(F14="Caballeria",+1,0), IF(F15="Caballeria",+1,0), IF(F16="Caballeria",+1,0), IF(F17="Caballeria",+1,0), IF(F18="Caballeria",+1,0), IF(F19="Caballeria",+1,0), IF(F20="Caballeria",+1,0), IF(F21="Caballeria",+1,0), IF(F22="Caballeria",+1,0), IF(F23="Caballeria",+1,0), IF(F24="Caballeria",+1,0), IF(F25="Caballeria",+1,0), IF(F26="Caballeria",+1,0), IF(F27="Caballeria",+1,0), IF(F28="Caballeria",+1,0), IF(F29="Caballeria",+1,0), IF(F30="Caballeria",+1,0), IF(F31="Caballeria",+1,0), IF(F32="Caballeria",+1,0), IF(F33="Caballeria",+1,0), IF(F34="Caballeria",+1,0), IF(F35="Caballeria",+1,0), IF(F36="Caballeria",+1,0), IF(F37="Caballeria",+1,0), IF(F38="Caballeria",+1,0), IF(F39="Caballeria",+1,0), IF(F40="Caballeria",+1,0), IF(F41="Caballeria",+1,0), IF(F42="Caballeria",+1,0), IF(F43="Caballeria",+1,0), IF(F44="Caballeria",+1,0), IF(F45="Caballeria",+1,0), IF(F46="Caballeria",+1,0), IF(F47="Caballeria",+1,0), IF(F48="Caballeria",+1,0), IF(F49="Caballeria",+1,0), IF(F50="Caballeria",+1,0), IF(F51="Caballeria",+1,0), IF(F52="Caballeria",+1,0), IF(F53="Caballeria",+1,0), IF(F54="Caballeria",+1,0), IF(F55="Caballeria",+1,0), IF(F56="Caballeria",+1,0), IF(F57="Caballeria",+1,0), IF(F58="Caballeria",+1,0), IF(F59="Caballeria",+1,0), IF(F60="Caballeria",+1,0), IF(F61="Caballeria",+1,0), IF(F62="Caballeria",+1,0), IF(F63="Caballeria",+1,0), IF(F64="Caballeria",+1,0), IF(F65="Caballeria",+1,0), IF(F66="Caballeria",+1,0), IF(F67="Caballeria",+1,0), IF(F68="Caballeria",+1,0), IF(F69="Caballeria",+1,0), IF(F70="Caballeria",+1,0), IF(F71="Caballeria",+1,0), IF(F72="Caballeria",+1,0), IF(F73="Caballeria",+1,0), IF(F74="Caballeria",+1,0), IF(F75="Caballeria",+1,0), IF(F76="Caballeria",+1,0), IF(F77="Caballeria",+1,0), IF(F78="Caballeria",+1,0), IF(F79="Caballeria",+1,0), IF(F80="Caballeria",+1,0), IF(F81="Caballeria",+1,0), IF(F82="Caballeria",+1,0), IF(F83="Caballeria",+1,0), IF(F84="Caballeria",+1,0), IF(F85="Caballeria",+1,0), IF(F86="Caballeria",+1,0), IF(F87="Caballeria",+1,0), IF(F88="Caballeria",+1,0), IF(F89="Caballeria",+1,0), IF(F90="Caballeria",+1,0), IF(F91="Caballeria",+1,0), IF(F92="Caballeria",+1,0), IF(F93="Caballeria",+1,0), IF(F94="Caballeria",+1,0), IF(F95="Caballeria",+1,0), IF(F96="Caballeria",+1,0), IF(F97="Caballeria",+1,0), IF(F101="Caballeria",+1,0), IF(F102="Caballeria",+1,0), IF(F103="Caballeria",+1,0), IF(F104="Caballeria",+1,0), IF(F105="Caballeria",+1,0), IF(F106="Caballeria",+1,0), IF(F107="Caballeria",+1,0), IF(F108="Caballeria",+1,0), IF(F109="Caballeria",+1,0))</f>
        <v>5</v>
      </c>
    </row>
    <row r="10" ht="15.75" customHeight="1">
      <c r="A10" s="114">
        <f t="shared" si="1"/>
        <v>3</v>
      </c>
      <c r="B10" s="114">
        <f t="shared" si="2"/>
        <v>9</v>
      </c>
      <c r="C10" s="107" t="s">
        <v>64</v>
      </c>
      <c r="D10" s="115" t="s">
        <v>83</v>
      </c>
      <c r="E10" s="108"/>
      <c r="F10" s="109" t="s">
        <v>50</v>
      </c>
      <c r="G10" s="115" t="s">
        <v>63</v>
      </c>
      <c r="H10" s="115" t="s">
        <v>21</v>
      </c>
      <c r="I10" s="115" t="s">
        <v>21</v>
      </c>
      <c r="J10" s="115" t="s">
        <v>21</v>
      </c>
      <c r="K10" s="115" t="s">
        <v>52</v>
      </c>
      <c r="L10" s="115" t="s">
        <v>21</v>
      </c>
      <c r="M10" s="115" t="s">
        <v>21</v>
      </c>
      <c r="N10" s="115" t="s">
        <v>21</v>
      </c>
      <c r="O10" s="115" t="s">
        <v>24</v>
      </c>
      <c r="P10" s="115"/>
      <c r="Q10" s="115"/>
      <c r="R10" s="118">
        <f t="shared" si="4"/>
        <v>0.7777777778</v>
      </c>
      <c r="U10" s="152" t="s">
        <v>95</v>
      </c>
      <c r="V10" s="94">
        <f>SUM(0,IF(F9="FAZR",+1,0), IF(F10="FAZR",+1,0), IF(F11="FAZR",+1,0), IF(F12="FAZR",+1,0), IF(F13="FAZR",+1,0), IF(F14="FAZR",+1,0), IF(F15="FAZR",+1,0), IF(F16="FAZR",+1,0), IF(F17="FAZR",+1,0), IF(F18="FAZR",+1,0), IF(F19="FAZR",+1,0), IF(F20="FAZR",+1,0), IF(F21="FAZR",+1,0), IF(F22="FAZR",+1,0), IF(F23="FAZR",+1,0), IF(F24="FAZR",+1,0), IF(F25="FAZR",+1,0), IF(F26="FAZR",+1,0), IF(F27="FAZR",+1,0), IF(F28="FAZR",+1,0), IF(F29="FAZR",+1,0), IF(F30="FAZR",+1,0), IF(F31="FAZR",+1,0), IF(F32="FAZR",+1,0), IF(F33="FAZR",+1,0), IF(F34="FAZR",+1,0), IF(F35="FAZR",+1,0), IF(F36="FAZR",+1,0), IF(F37="FAZR",+1,0), IF(F38="FAZR",+1,0), IF(F39="FAZR",+1,0), IF(F40="FAZR",+1,0), IF(F41="FAZR",+1,0), IF(F42="FAZR",+1,0), IF(F43="FAZR",+1,0), IF(F44="FAZR",+1,0), IF(F45="FAZR",+1,0), IF(F46="FAZR",+1,0), IF(F47="FAZR",+1,0), IF(F48="FAZR",+1,0), IF(F49="FAZR",+1,0), IF(F50="FAZR",+1,0), IF(F51="FAZR",+1,0), IF(F52="FAZR",+1,0), IF(F53="FAZR",+1,0), IF(F54="FAZR",+1,0), IF(F55="FAZR",+1,0), IF(F56="FAZR",+1,0), IF(F57="FAZR",+1,0), IF(F58="FAZR",+1,0), IF(F59="FAZR",+1,0), IF(F60="FAZR",+1,0), IF(F61="FAZR",+1,0), IF(F62="FAZR",+1,0), IF(F63="FAZR",+1,0), IF(F64="FAZR",+1,0), IF(F65="FAZR",+1,0), IF(F66="FAZR",+1,0), IF(F67="FAZR",+1,0), IF(F68="FAZR",+1,0), IF(F69="FAZR",+1,0), IF(F70="FAZR",+1,0), IF(F71="FAZR",+1,0), IF(F72="FAZR",+1,0), IF(F73="FAZR",+1,0), IF(F74="FAZR",+1,0), IF(F75="FAZR",+1,0), IF(F76="FAZR",+1,0), IF(F77="FAZR",+1,0), IF(F78="FAZR",+1,0), IF(F79="FAZR",+1,0), IF(F80="FAZR",+1,0), IF(F81="FAZR",+1,0), IF(F82="FAZR",+1,0), IF(F83="FAZR",+1,0), IF(F84="FAZR",+1,0), IF(F85="FAZR",+1,0), IF(F86="FAZR",+1,0), IF(F87="FAZR",+1,0), IF(F88="FAZR",+1,0), IF(F89="FAZR",+1,0), IF(F90="FAZR",+1,0), IF(F91="FAZR",+1,0), IF(F92="FAZR",+1,0), IF(F93="FAZR",+1,0), IF(F94="FAZR",+1,0), IF(F95="FAZR",+1,0), IF(F96="FAZR",+1,0), IF(F97="FAZR",+1,0), IF(F101="FAZR",+1,0), IF(F102="FAZR",+1,0), IF(F103="FAZR",+1,0), IF(F104="FAZR",+1,0), IF(F105="FAZR",+1,0), IF(F106="FAZR",+1,0), IF(F107="FAZR",+1,0), IF(F108="FAZR",+1,0), IF(F109="FAZR",+1,0), IF(F110="FAZR",+1,0))</f>
        <v>4</v>
      </c>
    </row>
    <row r="11" ht="15.75" customHeight="1">
      <c r="A11" s="114">
        <f t="shared" si="1"/>
        <v>3</v>
      </c>
      <c r="B11" s="114">
        <f t="shared" si="2"/>
        <v>10</v>
      </c>
      <c r="C11" s="107" t="s">
        <v>84</v>
      </c>
      <c r="D11" s="115" t="s">
        <v>198</v>
      </c>
      <c r="E11" s="116" t="str">
        <f>image("http://www.zrarmy.com/images/arg.png", 1)</f>
        <v/>
      </c>
      <c r="F11" s="109" t="s">
        <v>50</v>
      </c>
      <c r="G11" s="115" t="s">
        <v>68</v>
      </c>
      <c r="H11" s="115" t="s">
        <v>21</v>
      </c>
      <c r="I11" s="115" t="s">
        <v>21</v>
      </c>
      <c r="J11" s="115" t="s">
        <v>21</v>
      </c>
      <c r="K11" s="115" t="s">
        <v>21</v>
      </c>
      <c r="L11" s="115" t="s">
        <v>21</v>
      </c>
      <c r="M11" s="115" t="s">
        <v>21</v>
      </c>
      <c r="N11" s="115" t="s">
        <v>21</v>
      </c>
      <c r="O11" s="115" t="s">
        <v>21</v>
      </c>
      <c r="P11" s="115"/>
      <c r="Q11" s="115"/>
      <c r="R11" s="118">
        <f t="shared" si="4"/>
        <v>0.8888888889</v>
      </c>
      <c r="S11" s="162" t="s">
        <v>167</v>
      </c>
      <c r="T11" s="5"/>
      <c r="U11" s="138"/>
      <c r="V11" s="100" t="s">
        <v>168</v>
      </c>
    </row>
    <row r="12" ht="15.75" customHeight="1">
      <c r="A12" s="114">
        <f t="shared" si="1"/>
        <v>3</v>
      </c>
      <c r="B12" s="114">
        <f t="shared" si="2"/>
        <v>11</v>
      </c>
      <c r="C12" s="107" t="s">
        <v>79</v>
      </c>
      <c r="D12" s="115" t="s">
        <v>309</v>
      </c>
      <c r="E12" s="163"/>
      <c r="F12" s="109" t="s">
        <v>50</v>
      </c>
      <c r="G12" s="115" t="s">
        <v>68</v>
      </c>
      <c r="H12" s="115" t="s">
        <v>21</v>
      </c>
      <c r="I12" s="115" t="s">
        <v>21</v>
      </c>
      <c r="J12" s="115" t="s">
        <v>24</v>
      </c>
      <c r="K12" s="115" t="s">
        <v>24</v>
      </c>
      <c r="L12" s="115" t="s">
        <v>24</v>
      </c>
      <c r="M12" s="115" t="s">
        <v>24</v>
      </c>
      <c r="N12" s="115"/>
      <c r="O12" s="115"/>
      <c r="P12" s="115"/>
      <c r="Q12" s="115"/>
      <c r="R12" s="118">
        <f t="shared" si="4"/>
        <v>0.2222222222</v>
      </c>
      <c r="S12" s="133" t="s">
        <v>9</v>
      </c>
      <c r="T12" s="5"/>
      <c r="U12" s="115" t="s">
        <v>286</v>
      </c>
      <c r="V12" s="115" t="s">
        <v>171</v>
      </c>
      <c r="W12" s="115" t="s">
        <v>176</v>
      </c>
    </row>
    <row r="13" ht="15.75" customHeight="1">
      <c r="A13" s="114">
        <f t="shared" si="1"/>
        <v>3</v>
      </c>
      <c r="B13" s="114">
        <f t="shared" si="2"/>
        <v>9</v>
      </c>
      <c r="C13" s="107" t="s">
        <v>64</v>
      </c>
      <c r="D13" s="115" t="s">
        <v>67</v>
      </c>
      <c r="E13" s="124" t="str">
        <f>image("http://www.zrarmy.com/images/ven.jpg", 1)</f>
        <v/>
      </c>
      <c r="F13" s="109" t="s">
        <v>50</v>
      </c>
      <c r="G13" s="115" t="s">
        <v>85</v>
      </c>
      <c r="H13" s="115" t="s">
        <v>21</v>
      </c>
      <c r="I13" s="115" t="s">
        <v>24</v>
      </c>
      <c r="J13" s="115" t="s">
        <v>21</v>
      </c>
      <c r="K13" s="115" t="s">
        <v>24</v>
      </c>
      <c r="L13" s="115" t="s">
        <v>21</v>
      </c>
      <c r="M13" s="115" t="s">
        <v>33</v>
      </c>
      <c r="N13" s="115" t="s">
        <v>21</v>
      </c>
      <c r="O13" s="115" t="s">
        <v>24</v>
      </c>
      <c r="P13" s="115"/>
      <c r="Q13" s="115"/>
      <c r="R13" s="118">
        <f t="shared" si="4"/>
        <v>0.4444444444</v>
      </c>
      <c r="S13" s="133" t="s">
        <v>310</v>
      </c>
      <c r="T13" s="4"/>
      <c r="U13" s="134">
        <v>43182.0</v>
      </c>
      <c r="V13" s="106" t="s">
        <v>182</v>
      </c>
      <c r="W13" s="106" t="s">
        <v>182</v>
      </c>
    </row>
    <row r="14" ht="15.75" customHeight="1">
      <c r="A14" s="114">
        <f t="shared" si="1"/>
        <v>3</v>
      </c>
      <c r="B14" s="114">
        <f t="shared" si="2"/>
        <v>10</v>
      </c>
      <c r="C14" s="107" t="s">
        <v>84</v>
      </c>
      <c r="D14" s="115" t="s">
        <v>165</v>
      </c>
      <c r="E14" s="108"/>
      <c r="F14" s="109" t="s">
        <v>50</v>
      </c>
      <c r="G14" s="115" t="s">
        <v>85</v>
      </c>
      <c r="H14" s="115" t="s">
        <v>21</v>
      </c>
      <c r="I14" s="115" t="s">
        <v>21</v>
      </c>
      <c r="J14" s="115" t="s">
        <v>21</v>
      </c>
      <c r="K14" s="115" t="s">
        <v>21</v>
      </c>
      <c r="L14" s="115" t="s">
        <v>21</v>
      </c>
      <c r="M14" s="115" t="s">
        <v>24</v>
      </c>
      <c r="N14" s="115" t="s">
        <v>21</v>
      </c>
      <c r="O14" s="115" t="s">
        <v>24</v>
      </c>
      <c r="P14" s="115"/>
      <c r="Q14" s="115"/>
      <c r="R14" s="118">
        <f t="shared" si="4"/>
        <v>0.6666666667</v>
      </c>
      <c r="S14" s="133" t="s">
        <v>311</v>
      </c>
      <c r="T14" s="4"/>
      <c r="U14" s="134">
        <v>43185.0</v>
      </c>
      <c r="V14" s="106" t="s">
        <v>182</v>
      </c>
      <c r="W14" s="106" t="s">
        <v>182</v>
      </c>
    </row>
    <row r="15" ht="15.75" customHeight="1">
      <c r="A15" s="114">
        <f t="shared" si="1"/>
        <v>4</v>
      </c>
      <c r="B15" s="114">
        <f t="shared" si="2"/>
        <v>9</v>
      </c>
      <c r="C15" s="107" t="s">
        <v>64</v>
      </c>
      <c r="D15" s="115" t="s">
        <v>226</v>
      </c>
      <c r="E15" s="116" t="str">
        <f>image("http://www.zrarmy.com/images/pan.jpg", 1)</f>
        <v/>
      </c>
      <c r="F15" s="109" t="s">
        <v>115</v>
      </c>
      <c r="G15" s="115" t="s">
        <v>51</v>
      </c>
      <c r="H15" s="115" t="s">
        <v>21</v>
      </c>
      <c r="I15" s="115" t="s">
        <v>21</v>
      </c>
      <c r="J15" s="115" t="s">
        <v>24</v>
      </c>
      <c r="K15" s="115" t="s">
        <v>21</v>
      </c>
      <c r="L15" s="115" t="s">
        <v>21</v>
      </c>
      <c r="M15" s="115"/>
      <c r="N15" s="115" t="s">
        <v>21</v>
      </c>
      <c r="O15" s="115"/>
      <c r="P15" s="115"/>
      <c r="Q15" s="115"/>
      <c r="R15" s="118">
        <f t="shared" si="4"/>
        <v>0.5555555556</v>
      </c>
      <c r="S15" s="133" t="s">
        <v>312</v>
      </c>
      <c r="T15" s="4"/>
      <c r="U15" s="134">
        <v>43206.0</v>
      </c>
      <c r="V15" s="106" t="s">
        <v>182</v>
      </c>
      <c r="W15" s="106" t="s">
        <v>182</v>
      </c>
    </row>
    <row r="16" ht="15.75" customHeight="1">
      <c r="A16" s="114">
        <f t="shared" si="1"/>
        <v>4</v>
      </c>
      <c r="B16" s="114">
        <f t="shared" si="2"/>
        <v>10</v>
      </c>
      <c r="C16" s="107" t="s">
        <v>84</v>
      </c>
      <c r="D16" s="115" t="s">
        <v>141</v>
      </c>
      <c r="E16" s="108"/>
      <c r="F16" s="109" t="s">
        <v>115</v>
      </c>
      <c r="G16" s="115" t="s">
        <v>57</v>
      </c>
      <c r="H16" s="115" t="s">
        <v>24</v>
      </c>
      <c r="I16" s="115" t="s">
        <v>24</v>
      </c>
      <c r="J16" s="115" t="s">
        <v>24</v>
      </c>
      <c r="K16" s="164" t="s">
        <v>21</v>
      </c>
      <c r="L16" s="115" t="s">
        <v>21</v>
      </c>
      <c r="M16" s="115"/>
      <c r="N16" s="115" t="s">
        <v>21</v>
      </c>
      <c r="O16" s="115"/>
      <c r="P16" s="115"/>
      <c r="Q16" s="115"/>
      <c r="R16" s="118">
        <f t="shared" si="4"/>
        <v>0.3333333333</v>
      </c>
      <c r="S16" s="133" t="s">
        <v>313</v>
      </c>
      <c r="T16" s="4"/>
      <c r="U16" s="134">
        <v>43191.0</v>
      </c>
      <c r="V16" s="106" t="s">
        <v>182</v>
      </c>
      <c r="W16" s="106" t="s">
        <v>182</v>
      </c>
    </row>
    <row r="17" ht="15.75" customHeight="1">
      <c r="A17" s="114">
        <f t="shared" si="1"/>
        <v>4</v>
      </c>
      <c r="B17" s="114">
        <f t="shared" si="2"/>
        <v>9</v>
      </c>
      <c r="C17" s="107" t="s">
        <v>64</v>
      </c>
      <c r="D17" s="115" t="s">
        <v>248</v>
      </c>
      <c r="E17" s="116" t="str">
        <f>image("http://www.zrarmy.com/images/pan.jpg", 1)</f>
        <v/>
      </c>
      <c r="F17" s="109" t="s">
        <v>115</v>
      </c>
      <c r="G17" s="115" t="s">
        <v>63</v>
      </c>
      <c r="H17" s="115" t="s">
        <v>21</v>
      </c>
      <c r="I17" s="115" t="s">
        <v>24</v>
      </c>
      <c r="J17" s="115" t="s">
        <v>37</v>
      </c>
      <c r="K17" s="115" t="s">
        <v>37</v>
      </c>
      <c r="L17" s="115" t="s">
        <v>37</v>
      </c>
      <c r="M17" s="115" t="s">
        <v>37</v>
      </c>
      <c r="N17" s="115" t="s">
        <v>33</v>
      </c>
      <c r="O17" s="115"/>
      <c r="P17" s="115"/>
      <c r="Q17" s="115"/>
      <c r="R17" s="118">
        <f t="shared" si="4"/>
        <v>0.1111111111</v>
      </c>
      <c r="S17" s="133" t="s">
        <v>251</v>
      </c>
      <c r="T17" s="4"/>
      <c r="U17" s="134">
        <v>43182.0</v>
      </c>
      <c r="V17" s="106" t="s">
        <v>182</v>
      </c>
      <c r="W17" s="106" t="s">
        <v>182</v>
      </c>
    </row>
    <row r="18" ht="15.75" customHeight="1">
      <c r="A18" s="114">
        <f t="shared" si="1"/>
        <v>4</v>
      </c>
      <c r="B18" s="114">
        <f t="shared" si="2"/>
        <v>11</v>
      </c>
      <c r="C18" s="107" t="s">
        <v>79</v>
      </c>
      <c r="D18" s="115" t="s">
        <v>315</v>
      </c>
      <c r="E18" s="108"/>
      <c r="F18" s="109" t="s">
        <v>115</v>
      </c>
      <c r="G18" s="115" t="s">
        <v>68</v>
      </c>
      <c r="H18" s="115" t="s">
        <v>24</v>
      </c>
      <c r="I18" s="115" t="s">
        <v>33</v>
      </c>
      <c r="J18" s="115" t="s">
        <v>24</v>
      </c>
      <c r="K18" s="115" t="s">
        <v>24</v>
      </c>
      <c r="L18" s="115" t="s">
        <v>24</v>
      </c>
      <c r="M18" s="165" t="s">
        <v>33</v>
      </c>
      <c r="N18" s="115" t="s">
        <v>24</v>
      </c>
      <c r="O18" s="115"/>
      <c r="P18" s="115"/>
      <c r="Q18" s="115"/>
      <c r="R18" s="118" t="str">
        <f>SUM(IF(H18="A",1,IF(H18="T",1,0))+IF(I18="A",+1,IF(I18="T",1,0))+IF(J18="A",+1,IF(J18="T",1,0))+IF(K18="A",+1,IF(K18="T",1,0))+IF(L18="A",+1,IF(L18="T",1,0))+IF(N18="A",+1,IF(N18="T",1,0))+IF(#REF!="A",+1,IF(#REF!="T",1,0))+IF(O18="A",+1,IF(O18="T",1,0))+IF(P18="A",+1,IF(P18="T",1,0))+IF(Q18="A",+1,IF(Q18="T",1,0)))/$R$1</f>
        <v>#REF!</v>
      </c>
      <c r="S18" s="133" t="s">
        <v>316</v>
      </c>
      <c r="T18" s="4"/>
      <c r="U18" s="134">
        <v>43189.0</v>
      </c>
      <c r="V18" s="106" t="s">
        <v>182</v>
      </c>
      <c r="W18" s="106" t="s">
        <v>182</v>
      </c>
    </row>
    <row r="19" ht="15.75" customHeight="1">
      <c r="A19" s="114">
        <f t="shared" si="1"/>
        <v>4</v>
      </c>
      <c r="B19" s="114">
        <f t="shared" si="2"/>
        <v>9</v>
      </c>
      <c r="C19" s="107" t="s">
        <v>64</v>
      </c>
      <c r="D19" s="115" t="s">
        <v>118</v>
      </c>
      <c r="E19" s="116" t="str">
        <f>image("http://www.zrarmy.com/images/mex.jpg", 1)</f>
        <v/>
      </c>
      <c r="F19" s="109" t="s">
        <v>115</v>
      </c>
      <c r="G19" s="115" t="s">
        <v>85</v>
      </c>
      <c r="H19" s="115" t="s">
        <v>21</v>
      </c>
      <c r="I19" s="115" t="s">
        <v>24</v>
      </c>
      <c r="J19" s="115" t="s">
        <v>33</v>
      </c>
      <c r="K19" s="115" t="s">
        <v>24</v>
      </c>
      <c r="L19" s="115" t="s">
        <v>24</v>
      </c>
      <c r="M19" s="115" t="s">
        <v>21</v>
      </c>
      <c r="N19" s="115" t="s">
        <v>21</v>
      </c>
      <c r="O19" s="115"/>
      <c r="P19" s="115"/>
      <c r="Q19" s="115"/>
      <c r="R19" s="118">
        <f t="shared" ref="R19:R97" si="6">SUM(IF(H19="A",1,IF(H19="T",1,0))+IF(I19="A",+1,IF(I19="T",1,0))+IF(J19="A",+1,IF(J19="T",1,0))+IF(K19="A",+1,IF(K19="T",1,0))+IF(L19="A",+1,IF(L19="T",1,0))+IF(M19="A",+1,IF(M19="T",1,0))+IF(N19="A",+1,IF(N19="T",1,0))+IF(O19="A",+1,IF(O19="T",1,0))+IF(P19="A",+1,IF(P19="T",1,0))+IF(Q19="A",+1,IF(Q19="T",1,0)))/$R$1</f>
        <v>0.3333333333</v>
      </c>
      <c r="S19" s="133" t="s">
        <v>318</v>
      </c>
      <c r="T19" s="4"/>
      <c r="U19" s="134">
        <v>43202.0</v>
      </c>
      <c r="V19" s="106" t="s">
        <v>182</v>
      </c>
      <c r="W19" s="106" t="s">
        <v>182</v>
      </c>
    </row>
    <row r="20" ht="15.75" customHeight="1">
      <c r="A20" s="114">
        <f t="shared" si="1"/>
        <v>4</v>
      </c>
      <c r="B20" s="114">
        <f t="shared" si="2"/>
        <v>10</v>
      </c>
      <c r="C20" s="107" t="s">
        <v>84</v>
      </c>
      <c r="D20" s="115" t="s">
        <v>207</v>
      </c>
      <c r="E20" s="163"/>
      <c r="F20" s="109" t="s">
        <v>115</v>
      </c>
      <c r="G20" s="115" t="s">
        <v>85</v>
      </c>
      <c r="H20" s="115" t="s">
        <v>21</v>
      </c>
      <c r="I20" s="115" t="s">
        <v>21</v>
      </c>
      <c r="J20" s="115" t="s">
        <v>24</v>
      </c>
      <c r="K20" s="115" t="s">
        <v>21</v>
      </c>
      <c r="L20" s="115" t="s">
        <v>33</v>
      </c>
      <c r="M20" s="115" t="s">
        <v>24</v>
      </c>
      <c r="N20" s="115" t="s">
        <v>21</v>
      </c>
      <c r="O20" s="115"/>
      <c r="P20" s="115"/>
      <c r="Q20" s="115"/>
      <c r="R20" s="118">
        <f t="shared" si="6"/>
        <v>0.4444444444</v>
      </c>
      <c r="S20" s="133" t="s">
        <v>319</v>
      </c>
      <c r="T20" s="4"/>
      <c r="U20" s="134">
        <v>43183.0</v>
      </c>
      <c r="V20" s="106" t="s">
        <v>182</v>
      </c>
      <c r="W20" s="106" t="s">
        <v>182</v>
      </c>
    </row>
    <row r="21" ht="15.75" customHeight="1">
      <c r="A21" s="114">
        <f t="shared" si="1"/>
        <v>5</v>
      </c>
      <c r="B21" s="114">
        <f t="shared" si="2"/>
        <v>7</v>
      </c>
      <c r="C21" s="107" t="s">
        <v>46</v>
      </c>
      <c r="D21" s="115" t="s">
        <v>114</v>
      </c>
      <c r="E21" s="108"/>
      <c r="F21" s="109" t="s">
        <v>320</v>
      </c>
      <c r="G21" s="115" t="s">
        <v>43</v>
      </c>
      <c r="H21" s="115" t="s">
        <v>21</v>
      </c>
      <c r="I21" s="115" t="s">
        <v>21</v>
      </c>
      <c r="J21" s="115" t="s">
        <v>21</v>
      </c>
      <c r="K21" s="115" t="s">
        <v>21</v>
      </c>
      <c r="L21" s="115" t="s">
        <v>21</v>
      </c>
      <c r="M21" s="115" t="s">
        <v>21</v>
      </c>
      <c r="N21" s="115" t="s">
        <v>24</v>
      </c>
      <c r="O21" s="115"/>
      <c r="P21" s="115"/>
      <c r="Q21" s="115"/>
      <c r="R21" s="118">
        <f t="shared" si="6"/>
        <v>0.6666666667</v>
      </c>
      <c r="S21" s="133" t="s">
        <v>321</v>
      </c>
      <c r="T21" s="4"/>
      <c r="U21" s="134">
        <v>43221.0</v>
      </c>
      <c r="V21" s="106" t="s">
        <v>182</v>
      </c>
      <c r="W21" s="106" t="s">
        <v>182</v>
      </c>
    </row>
    <row r="22" ht="15.75" customHeight="1">
      <c r="A22" s="114">
        <f t="shared" si="1"/>
        <v>6</v>
      </c>
      <c r="B22" s="114">
        <f t="shared" si="2"/>
        <v>8</v>
      </c>
      <c r="C22" s="107" t="s">
        <v>54</v>
      </c>
      <c r="D22" s="115" t="s">
        <v>100</v>
      </c>
      <c r="E22" s="124" t="str">
        <f>image("http://www.zrarmy.com/images/ven.jpg", 1)</f>
        <v/>
      </c>
      <c r="F22" s="109" t="s">
        <v>322</v>
      </c>
      <c r="G22" s="115" t="s">
        <v>51</v>
      </c>
      <c r="H22" s="115" t="s">
        <v>21</v>
      </c>
      <c r="I22" s="115" t="s">
        <v>21</v>
      </c>
      <c r="J22" s="115" t="s">
        <v>21</v>
      </c>
      <c r="K22" s="115" t="s">
        <v>24</v>
      </c>
      <c r="L22" s="115" t="s">
        <v>24</v>
      </c>
      <c r="M22" s="115" t="s">
        <v>21</v>
      </c>
      <c r="N22" s="115" t="s">
        <v>37</v>
      </c>
      <c r="O22" s="115" t="s">
        <v>37</v>
      </c>
      <c r="P22" s="115" t="s">
        <v>37</v>
      </c>
      <c r="Q22" s="115"/>
      <c r="R22" s="118">
        <f t="shared" si="6"/>
        <v>0.4444444444</v>
      </c>
      <c r="S22" s="133" t="s">
        <v>323</v>
      </c>
      <c r="T22" s="4"/>
      <c r="U22" s="134">
        <v>43191.0</v>
      </c>
      <c r="V22" s="106" t="s">
        <v>182</v>
      </c>
      <c r="W22" s="106" t="s">
        <v>182</v>
      </c>
    </row>
    <row r="23" ht="15.75" customHeight="1">
      <c r="A23" s="114">
        <f t="shared" si="1"/>
        <v>6</v>
      </c>
      <c r="B23" s="114">
        <f t="shared" si="2"/>
        <v>9</v>
      </c>
      <c r="C23" s="107" t="s">
        <v>64</v>
      </c>
      <c r="D23" s="115" t="s">
        <v>60</v>
      </c>
      <c r="E23" s="116" t="str">
        <f>image("http://www.zrarmy.com/images/mex.jpg", 1)</f>
        <v/>
      </c>
      <c r="F23" s="109" t="s">
        <v>322</v>
      </c>
      <c r="G23" s="115" t="s">
        <v>57</v>
      </c>
      <c r="H23" s="115" t="s">
        <v>21</v>
      </c>
      <c r="I23" s="115" t="s">
        <v>21</v>
      </c>
      <c r="J23" s="115" t="s">
        <v>24</v>
      </c>
      <c r="K23" s="115" t="s">
        <v>21</v>
      </c>
      <c r="L23" s="115" t="s">
        <v>21</v>
      </c>
      <c r="M23" s="115" t="s">
        <v>24</v>
      </c>
      <c r="N23" s="115"/>
      <c r="O23" s="115"/>
      <c r="P23" s="115"/>
      <c r="Q23" s="115"/>
      <c r="R23" s="118">
        <f t="shared" si="6"/>
        <v>0.4444444444</v>
      </c>
      <c r="S23" s="133" t="s">
        <v>325</v>
      </c>
      <c r="T23" s="4"/>
      <c r="U23" s="134">
        <v>43191.0</v>
      </c>
      <c r="V23" s="106" t="s">
        <v>182</v>
      </c>
      <c r="W23" s="106" t="s">
        <v>182</v>
      </c>
    </row>
    <row r="24" ht="15.75" customHeight="1">
      <c r="A24" s="114">
        <f t="shared" si="1"/>
        <v>6</v>
      </c>
      <c r="B24" s="114">
        <f t="shared" si="2"/>
        <v>9</v>
      </c>
      <c r="C24" s="107" t="s">
        <v>64</v>
      </c>
      <c r="D24" s="115" t="s">
        <v>217</v>
      </c>
      <c r="E24" s="116" t="str">
        <f>image("http://www.zrarmy.com/images/arg.png", 1)</f>
        <v/>
      </c>
      <c r="F24" s="109" t="s">
        <v>322</v>
      </c>
      <c r="G24" s="115" t="s">
        <v>63</v>
      </c>
      <c r="H24" s="115" t="s">
        <v>37</v>
      </c>
      <c r="I24" s="115" t="s">
        <v>37</v>
      </c>
      <c r="J24" s="115" t="s">
        <v>37</v>
      </c>
      <c r="K24" s="115" t="s">
        <v>37</v>
      </c>
      <c r="L24" s="115" t="s">
        <v>37</v>
      </c>
      <c r="M24" s="115" t="s">
        <v>37</v>
      </c>
      <c r="N24" s="115" t="s">
        <v>37</v>
      </c>
      <c r="O24" s="115" t="s">
        <v>37</v>
      </c>
      <c r="P24" s="115" t="s">
        <v>37</v>
      </c>
      <c r="Q24" s="115"/>
      <c r="R24" s="118">
        <f t="shared" si="6"/>
        <v>0</v>
      </c>
      <c r="S24" s="133"/>
      <c r="T24" s="4"/>
      <c r="U24" s="134"/>
      <c r="V24" s="106"/>
      <c r="W24" s="106"/>
    </row>
    <row r="25" ht="15.75" customHeight="1">
      <c r="A25" s="114">
        <f t="shared" si="1"/>
        <v>6</v>
      </c>
      <c r="B25" s="114">
        <f t="shared" si="2"/>
        <v>10</v>
      </c>
      <c r="C25" s="107" t="s">
        <v>84</v>
      </c>
      <c r="D25" s="115" t="s">
        <v>121</v>
      </c>
      <c r="E25" s="163"/>
      <c r="F25" s="109" t="s">
        <v>322</v>
      </c>
      <c r="G25" s="115" t="s">
        <v>68</v>
      </c>
      <c r="H25" s="115" t="s">
        <v>37</v>
      </c>
      <c r="I25" s="115" t="s">
        <v>37</v>
      </c>
      <c r="J25" s="115" t="s">
        <v>37</v>
      </c>
      <c r="K25" s="115" t="s">
        <v>37</v>
      </c>
      <c r="L25" s="115" t="s">
        <v>37</v>
      </c>
      <c r="M25" s="115" t="s">
        <v>37</v>
      </c>
      <c r="N25" s="115" t="s">
        <v>37</v>
      </c>
      <c r="O25" s="115" t="s">
        <v>37</v>
      </c>
      <c r="P25" s="115" t="s">
        <v>37</v>
      </c>
      <c r="Q25" s="115"/>
      <c r="R25" s="118">
        <f t="shared" si="6"/>
        <v>0</v>
      </c>
      <c r="S25" s="133"/>
      <c r="T25" s="4"/>
      <c r="U25" s="134"/>
      <c r="V25" s="106"/>
      <c r="W25" s="106"/>
    </row>
    <row r="26" ht="15.75" customHeight="1">
      <c r="A26" s="114">
        <f t="shared" si="1"/>
        <v>6</v>
      </c>
      <c r="B26" s="114">
        <f t="shared" si="2"/>
        <v>11</v>
      </c>
      <c r="C26" s="107" t="s">
        <v>79</v>
      </c>
      <c r="D26" s="115" t="s">
        <v>294</v>
      </c>
      <c r="E26" s="116" t="str">
        <f t="shared" ref="E26:E27" si="7">image("http://www.zrarmy.com/images/arg.png", 1)</f>
        <v/>
      </c>
      <c r="F26" s="143" t="s">
        <v>322</v>
      </c>
      <c r="G26" s="115" t="s">
        <v>68</v>
      </c>
      <c r="H26" s="115" t="s">
        <v>24</v>
      </c>
      <c r="I26" s="115" t="s">
        <v>24</v>
      </c>
      <c r="J26" s="115"/>
      <c r="K26" s="115"/>
      <c r="L26" s="115" t="s">
        <v>37</v>
      </c>
      <c r="M26" s="115" t="s">
        <v>37</v>
      </c>
      <c r="N26" s="115" t="s">
        <v>37</v>
      </c>
      <c r="O26" s="115" t="s">
        <v>37</v>
      </c>
      <c r="P26" s="115" t="s">
        <v>37</v>
      </c>
      <c r="Q26" s="115"/>
      <c r="R26" s="118">
        <f t="shared" si="6"/>
        <v>0</v>
      </c>
      <c r="S26" s="133"/>
      <c r="T26" s="4"/>
      <c r="U26" s="134"/>
      <c r="V26" s="106"/>
      <c r="W26" s="106"/>
    </row>
    <row r="27" ht="15.75" customHeight="1">
      <c r="A27" s="114">
        <f t="shared" si="1"/>
        <v>6</v>
      </c>
      <c r="B27" s="114">
        <f t="shared" si="2"/>
        <v>11</v>
      </c>
      <c r="C27" s="107" t="s">
        <v>79</v>
      </c>
      <c r="D27" s="115" t="s">
        <v>128</v>
      </c>
      <c r="E27" s="116" t="str">
        <f t="shared" si="7"/>
        <v/>
      </c>
      <c r="F27" s="109" t="s">
        <v>322</v>
      </c>
      <c r="G27" s="115" t="s">
        <v>85</v>
      </c>
      <c r="H27" s="115" t="s">
        <v>37</v>
      </c>
      <c r="I27" s="115" t="s">
        <v>37</v>
      </c>
      <c r="J27" s="115" t="s">
        <v>37</v>
      </c>
      <c r="K27" s="115" t="s">
        <v>37</v>
      </c>
      <c r="L27" s="115" t="s">
        <v>37</v>
      </c>
      <c r="M27" s="115" t="s">
        <v>21</v>
      </c>
      <c r="N27" s="115"/>
      <c r="O27" s="115"/>
      <c r="P27" s="115"/>
      <c r="Q27" s="115"/>
      <c r="R27" s="118">
        <f t="shared" si="6"/>
        <v>0.1111111111</v>
      </c>
      <c r="S27" s="133"/>
      <c r="T27" s="4"/>
      <c r="U27" s="134"/>
      <c r="V27" s="106"/>
      <c r="W27" s="106"/>
    </row>
    <row r="28" ht="15.75" customHeight="1">
      <c r="A28" s="114">
        <f t="shared" si="1"/>
        <v>6</v>
      </c>
      <c r="B28" s="114">
        <f t="shared" si="2"/>
        <v>11</v>
      </c>
      <c r="C28" s="107" t="s">
        <v>79</v>
      </c>
      <c r="D28" s="115" t="s">
        <v>328</v>
      </c>
      <c r="E28" s="116" t="str">
        <f>image("http://www.zrarmy.com/images/per.jpg", 1)</f>
        <v/>
      </c>
      <c r="F28" s="109" t="s">
        <v>322</v>
      </c>
      <c r="G28" s="115" t="s">
        <v>85</v>
      </c>
      <c r="H28" s="115" t="s">
        <v>21</v>
      </c>
      <c r="I28" s="115" t="s">
        <v>24</v>
      </c>
      <c r="J28" s="115" t="s">
        <v>24</v>
      </c>
      <c r="K28" s="115" t="s">
        <v>21</v>
      </c>
      <c r="L28" s="115" t="s">
        <v>21</v>
      </c>
      <c r="M28" s="115" t="s">
        <v>24</v>
      </c>
      <c r="N28" s="115"/>
      <c r="O28" s="115"/>
      <c r="P28" s="115"/>
      <c r="Q28" s="115"/>
      <c r="R28" s="118">
        <f t="shared" si="6"/>
        <v>0.3333333333</v>
      </c>
      <c r="S28" s="133"/>
      <c r="T28" s="4"/>
      <c r="U28" s="134"/>
      <c r="V28" s="106"/>
      <c r="W28" s="106"/>
    </row>
    <row r="29" ht="15.75" customHeight="1">
      <c r="A29" s="114">
        <f t="shared" si="1"/>
        <v>7</v>
      </c>
      <c r="B29" s="114">
        <f t="shared" si="2"/>
        <v>8</v>
      </c>
      <c r="C29" s="107" t="s">
        <v>54</v>
      </c>
      <c r="D29" s="115" t="s">
        <v>105</v>
      </c>
      <c r="E29" s="116" t="str">
        <f>image("http://www.zrarmy.com/images/chi.jpg", 1)</f>
        <v/>
      </c>
      <c r="F29" s="109" t="s">
        <v>330</v>
      </c>
      <c r="G29" s="115" t="s">
        <v>51</v>
      </c>
      <c r="H29" s="115" t="s">
        <v>37</v>
      </c>
      <c r="I29" s="115" t="s">
        <v>37</v>
      </c>
      <c r="J29" s="115" t="s">
        <v>37</v>
      </c>
      <c r="K29" s="115" t="s">
        <v>37</v>
      </c>
      <c r="L29" s="115" t="s">
        <v>37</v>
      </c>
      <c r="M29" s="115" t="s">
        <v>37</v>
      </c>
      <c r="N29" s="115" t="s">
        <v>37</v>
      </c>
      <c r="O29" s="115" t="s">
        <v>37</v>
      </c>
      <c r="P29" s="115" t="s">
        <v>37</v>
      </c>
      <c r="Q29" s="115"/>
      <c r="R29" s="118">
        <f t="shared" si="6"/>
        <v>0</v>
      </c>
      <c r="S29" s="133"/>
      <c r="T29" s="4"/>
      <c r="U29" s="134"/>
      <c r="V29" s="106"/>
      <c r="W29" s="106"/>
    </row>
    <row r="30" ht="15.75" customHeight="1">
      <c r="A30" s="114">
        <f t="shared" si="1"/>
        <v>7</v>
      </c>
      <c r="B30" s="114">
        <f t="shared" si="2"/>
        <v>9</v>
      </c>
      <c r="C30" s="107" t="s">
        <v>64</v>
      </c>
      <c r="D30" s="115" t="s">
        <v>160</v>
      </c>
      <c r="E30" s="116" t="str">
        <f>image("http://www.zrarmy.com/images/col.jpg", 1)</f>
        <v/>
      </c>
      <c r="F30" s="109" t="s">
        <v>330</v>
      </c>
      <c r="G30" s="115" t="s">
        <v>57</v>
      </c>
      <c r="H30" s="115" t="s">
        <v>21</v>
      </c>
      <c r="I30" s="115" t="s">
        <v>21</v>
      </c>
      <c r="J30" s="115" t="s">
        <v>24</v>
      </c>
      <c r="K30" s="115" t="s">
        <v>24</v>
      </c>
      <c r="L30" s="115" t="s">
        <v>24</v>
      </c>
      <c r="M30" s="115" t="s">
        <v>24</v>
      </c>
      <c r="N30" s="115" t="s">
        <v>21</v>
      </c>
      <c r="O30" s="115" t="s">
        <v>21</v>
      </c>
      <c r="P30" s="115" t="s">
        <v>21</v>
      </c>
      <c r="Q30" s="115"/>
      <c r="R30" s="118">
        <f t="shared" si="6"/>
        <v>0.5555555556</v>
      </c>
      <c r="S30" s="133"/>
      <c r="T30" s="4"/>
      <c r="U30" s="134"/>
      <c r="V30" s="106"/>
      <c r="W30" s="106"/>
    </row>
    <row r="31" ht="15.75" customHeight="1">
      <c r="A31" s="114">
        <f t="shared" si="1"/>
        <v>7</v>
      </c>
      <c r="B31" s="114">
        <f t="shared" si="2"/>
        <v>10</v>
      </c>
      <c r="C31" s="107" t="s">
        <v>84</v>
      </c>
      <c r="D31" s="115" t="s">
        <v>218</v>
      </c>
      <c r="E31" s="116" t="str">
        <f>image("http://www.zrarmy.com/images/arg.png", 1)</f>
        <v/>
      </c>
      <c r="F31" s="109" t="s">
        <v>330</v>
      </c>
      <c r="G31" s="115" t="s">
        <v>63</v>
      </c>
      <c r="H31" s="115" t="s">
        <v>21</v>
      </c>
      <c r="I31" s="115" t="s">
        <v>21</v>
      </c>
      <c r="J31" s="115" t="s">
        <v>24</v>
      </c>
      <c r="K31" s="115" t="s">
        <v>24</v>
      </c>
      <c r="L31" s="115" t="s">
        <v>21</v>
      </c>
      <c r="M31" s="115" t="s">
        <v>21</v>
      </c>
      <c r="N31" s="115" t="s">
        <v>24</v>
      </c>
      <c r="O31" s="115" t="s">
        <v>21</v>
      </c>
      <c r="P31" s="115" t="s">
        <v>21</v>
      </c>
      <c r="Q31" s="115"/>
      <c r="R31" s="118">
        <f t="shared" si="6"/>
        <v>0.6666666667</v>
      </c>
      <c r="S31" s="133"/>
      <c r="T31" s="4"/>
      <c r="U31" s="134"/>
      <c r="V31" s="106"/>
      <c r="W31" s="106"/>
    </row>
    <row r="32" ht="15.75" customHeight="1">
      <c r="A32" s="114">
        <f t="shared" si="1"/>
        <v>7</v>
      </c>
      <c r="B32" s="114">
        <f t="shared" si="2"/>
        <v>11</v>
      </c>
      <c r="C32" s="107" t="s">
        <v>79</v>
      </c>
      <c r="D32" s="115" t="s">
        <v>135</v>
      </c>
      <c r="E32" s="116" t="str">
        <f>image("http://www.zrarmy.com/images/mex.jpg", 1)</f>
        <v/>
      </c>
      <c r="F32" s="109" t="s">
        <v>330</v>
      </c>
      <c r="G32" s="115" t="s">
        <v>68</v>
      </c>
      <c r="H32" s="115" t="s">
        <v>37</v>
      </c>
      <c r="I32" s="115" t="s">
        <v>37</v>
      </c>
      <c r="J32" s="115" t="s">
        <v>37</v>
      </c>
      <c r="K32" s="115" t="s">
        <v>37</v>
      </c>
      <c r="L32" s="115" t="s">
        <v>37</v>
      </c>
      <c r="M32" s="115" t="s">
        <v>37</v>
      </c>
      <c r="N32" s="115" t="s">
        <v>37</v>
      </c>
      <c r="O32" s="115" t="s">
        <v>33</v>
      </c>
      <c r="P32" s="115" t="s">
        <v>33</v>
      </c>
      <c r="Q32" s="115"/>
      <c r="R32" s="118">
        <f t="shared" si="6"/>
        <v>0</v>
      </c>
      <c r="S32" s="133"/>
      <c r="T32" s="4"/>
      <c r="U32" s="134"/>
      <c r="V32" s="106"/>
      <c r="W32" s="106"/>
    </row>
    <row r="33" ht="15.75" customHeight="1">
      <c r="A33" s="114">
        <f t="shared" si="1"/>
        <v>7</v>
      </c>
      <c r="B33" s="114">
        <f t="shared" si="2"/>
        <v>11</v>
      </c>
      <c r="C33" s="107" t="s">
        <v>79</v>
      </c>
      <c r="D33" s="115" t="s">
        <v>211</v>
      </c>
      <c r="E33" s="108"/>
      <c r="F33" s="109" t="s">
        <v>330</v>
      </c>
      <c r="G33" s="115" t="s">
        <v>68</v>
      </c>
      <c r="H33" s="115" t="s">
        <v>33</v>
      </c>
      <c r="I33" s="115" t="s">
        <v>21</v>
      </c>
      <c r="J33" s="115" t="s">
        <v>21</v>
      </c>
      <c r="K33" s="115" t="s">
        <v>21</v>
      </c>
      <c r="L33" s="115" t="s">
        <v>21</v>
      </c>
      <c r="M33" s="115" t="s">
        <v>24</v>
      </c>
      <c r="N33" s="115" t="s">
        <v>21</v>
      </c>
      <c r="O33" s="115" t="s">
        <v>21</v>
      </c>
      <c r="P33" s="115" t="s">
        <v>21</v>
      </c>
      <c r="Q33" s="115"/>
      <c r="R33" s="118">
        <f t="shared" si="6"/>
        <v>0.7777777778</v>
      </c>
      <c r="S33" s="133"/>
      <c r="T33" s="4"/>
      <c r="U33" s="134"/>
      <c r="V33" s="106"/>
      <c r="W33" s="106"/>
    </row>
    <row r="34" ht="15.75" customHeight="1">
      <c r="A34" s="114">
        <f t="shared" si="1"/>
        <v>7</v>
      </c>
      <c r="B34" s="114">
        <f t="shared" si="2"/>
        <v>11</v>
      </c>
      <c r="C34" s="107" t="s">
        <v>79</v>
      </c>
      <c r="D34" s="115" t="s">
        <v>333</v>
      </c>
      <c r="E34" s="108"/>
      <c r="F34" s="109" t="s">
        <v>330</v>
      </c>
      <c r="G34" s="115" t="s">
        <v>68</v>
      </c>
      <c r="H34" s="115" t="s">
        <v>24</v>
      </c>
      <c r="I34" s="115" t="s">
        <v>21</v>
      </c>
      <c r="J34" s="115" t="s">
        <v>21</v>
      </c>
      <c r="K34" s="115" t="s">
        <v>21</v>
      </c>
      <c r="L34" s="115" t="s">
        <v>21</v>
      </c>
      <c r="M34" s="115" t="s">
        <v>24</v>
      </c>
      <c r="N34" s="115" t="s">
        <v>21</v>
      </c>
      <c r="O34" s="115" t="s">
        <v>24</v>
      </c>
      <c r="P34" s="115" t="s">
        <v>24</v>
      </c>
      <c r="Q34" s="115"/>
      <c r="R34" s="118">
        <f t="shared" si="6"/>
        <v>0.5555555556</v>
      </c>
      <c r="S34" s="133"/>
      <c r="T34" s="4"/>
      <c r="U34" s="134"/>
      <c r="V34" s="106"/>
      <c r="W34" s="106"/>
    </row>
    <row r="35" ht="15.75" customHeight="1">
      <c r="A35" s="114">
        <f t="shared" si="1"/>
        <v>7</v>
      </c>
      <c r="B35" s="114">
        <f t="shared" si="2"/>
        <v>11</v>
      </c>
      <c r="C35" s="107" t="s">
        <v>79</v>
      </c>
      <c r="D35" s="115" t="s">
        <v>111</v>
      </c>
      <c r="E35" s="116" t="str">
        <f>image("http://www.zrarmy.com/images/usa.jpg", 1)</f>
        <v/>
      </c>
      <c r="F35" s="109" t="s">
        <v>330</v>
      </c>
      <c r="G35" s="115" t="s">
        <v>85</v>
      </c>
      <c r="H35" s="115" t="s">
        <v>37</v>
      </c>
      <c r="I35" s="115" t="s">
        <v>24</v>
      </c>
      <c r="J35" s="115" t="s">
        <v>37</v>
      </c>
      <c r="K35" s="115" t="s">
        <v>37</v>
      </c>
      <c r="L35" s="115" t="s">
        <v>37</v>
      </c>
      <c r="M35" s="115" t="s">
        <v>37</v>
      </c>
      <c r="N35" s="115" t="s">
        <v>24</v>
      </c>
      <c r="O35" s="115" t="s">
        <v>33</v>
      </c>
      <c r="P35" s="115" t="s">
        <v>33</v>
      </c>
      <c r="Q35" s="115"/>
      <c r="R35" s="118">
        <f t="shared" si="6"/>
        <v>0</v>
      </c>
      <c r="S35" s="133"/>
      <c r="T35" s="4"/>
      <c r="U35" s="134"/>
      <c r="V35" s="106"/>
      <c r="W35" s="106"/>
    </row>
    <row r="36" ht="15.75" customHeight="1">
      <c r="A36" s="114">
        <f t="shared" si="1"/>
        <v>7</v>
      </c>
      <c r="B36" s="114">
        <f t="shared" si="2"/>
        <v>11</v>
      </c>
      <c r="C36" s="107" t="s">
        <v>79</v>
      </c>
      <c r="D36" s="115" t="s">
        <v>55</v>
      </c>
      <c r="E36" s="177"/>
      <c r="F36" s="117" t="s">
        <v>330</v>
      </c>
      <c r="G36" s="115" t="s">
        <v>85</v>
      </c>
      <c r="H36" s="115" t="s">
        <v>21</v>
      </c>
      <c r="I36" s="115" t="s">
        <v>21</v>
      </c>
      <c r="J36" s="115" t="s">
        <v>21</v>
      </c>
      <c r="K36" s="115" t="s">
        <v>21</v>
      </c>
      <c r="L36" s="115" t="s">
        <v>21</v>
      </c>
      <c r="M36" s="115" t="s">
        <v>21</v>
      </c>
      <c r="N36" s="115" t="s">
        <v>21</v>
      </c>
      <c r="O36" s="115" t="s">
        <v>21</v>
      </c>
      <c r="P36" s="115" t="s">
        <v>21</v>
      </c>
      <c r="Q36" s="115"/>
      <c r="R36" s="118">
        <f t="shared" si="6"/>
        <v>1</v>
      </c>
      <c r="S36" s="133"/>
      <c r="T36" s="4"/>
      <c r="U36" s="134"/>
      <c r="V36" s="106"/>
      <c r="W36" s="106"/>
    </row>
    <row r="37" ht="15.75" customHeight="1">
      <c r="A37" s="114">
        <f t="shared" si="1"/>
        <v>8</v>
      </c>
      <c r="B37" s="114">
        <f t="shared" si="2"/>
        <v>6</v>
      </c>
      <c r="C37" s="107" t="s">
        <v>113</v>
      </c>
      <c r="D37" s="115" t="s">
        <v>169</v>
      </c>
      <c r="E37" s="116" t="str">
        <f t="shared" ref="E37:E38" si="8">image("http://www.zrarmy.com/images/ven.jpg", 1)</f>
        <v/>
      </c>
      <c r="F37" s="109" t="s">
        <v>335</v>
      </c>
      <c r="G37" s="115" t="s">
        <v>336</v>
      </c>
      <c r="H37" s="115" t="s">
        <v>24</v>
      </c>
      <c r="I37" s="115" t="s">
        <v>24</v>
      </c>
      <c r="J37" s="115" t="s">
        <v>24</v>
      </c>
      <c r="K37" s="115" t="s">
        <v>30</v>
      </c>
      <c r="L37" s="115" t="s">
        <v>30</v>
      </c>
      <c r="M37" s="115" t="s">
        <v>30</v>
      </c>
      <c r="N37" s="115" t="s">
        <v>30</v>
      </c>
      <c r="O37" s="115" t="s">
        <v>30</v>
      </c>
      <c r="P37" s="115" t="s">
        <v>30</v>
      </c>
      <c r="Q37" s="115"/>
      <c r="R37" s="118">
        <f t="shared" si="6"/>
        <v>0</v>
      </c>
      <c r="S37" s="133"/>
      <c r="T37" s="4"/>
      <c r="U37" s="134"/>
      <c r="V37" s="106"/>
      <c r="W37" s="106"/>
    </row>
    <row r="38" ht="15.75" customHeight="1">
      <c r="A38" s="114">
        <f t="shared" si="1"/>
        <v>9</v>
      </c>
      <c r="B38" s="114">
        <f t="shared" si="2"/>
        <v>7</v>
      </c>
      <c r="C38" s="107" t="s">
        <v>46</v>
      </c>
      <c r="D38" s="115" t="s">
        <v>173</v>
      </c>
      <c r="E38" s="116" t="str">
        <f t="shared" si="8"/>
        <v/>
      </c>
      <c r="F38" s="109" t="s">
        <v>158</v>
      </c>
      <c r="G38" s="115" t="s">
        <v>51</v>
      </c>
      <c r="H38" s="115" t="s">
        <v>21</v>
      </c>
      <c r="I38" s="115" t="s">
        <v>21</v>
      </c>
      <c r="J38" s="115" t="s">
        <v>30</v>
      </c>
      <c r="K38" s="115" t="s">
        <v>30</v>
      </c>
      <c r="L38" s="115" t="s">
        <v>30</v>
      </c>
      <c r="M38" s="115" t="s">
        <v>30</v>
      </c>
      <c r="N38" s="115" t="s">
        <v>30</v>
      </c>
      <c r="O38" s="115" t="s">
        <v>30</v>
      </c>
      <c r="P38" s="115" t="s">
        <v>30</v>
      </c>
      <c r="Q38" s="115"/>
      <c r="R38" s="118">
        <f t="shared" si="6"/>
        <v>0.2222222222</v>
      </c>
      <c r="S38" s="133"/>
      <c r="T38" s="4"/>
      <c r="U38" s="134"/>
      <c r="V38" s="106"/>
      <c r="W38" s="106"/>
    </row>
    <row r="39" ht="15.75" customHeight="1">
      <c r="A39" s="114">
        <f t="shared" si="1"/>
        <v>9</v>
      </c>
      <c r="B39" s="114">
        <f t="shared" si="2"/>
        <v>8</v>
      </c>
      <c r="C39" s="107" t="s">
        <v>54</v>
      </c>
      <c r="D39" s="115" t="s">
        <v>157</v>
      </c>
      <c r="E39" s="108"/>
      <c r="F39" s="109" t="s">
        <v>158</v>
      </c>
      <c r="G39" s="115" t="s">
        <v>57</v>
      </c>
      <c r="H39" s="115" t="s">
        <v>24</v>
      </c>
      <c r="I39" s="115" t="s">
        <v>21</v>
      </c>
      <c r="J39" s="115" t="s">
        <v>21</v>
      </c>
      <c r="K39" s="115" t="s">
        <v>21</v>
      </c>
      <c r="L39" s="115" t="s">
        <v>24</v>
      </c>
      <c r="M39" s="115" t="s">
        <v>21</v>
      </c>
      <c r="N39" s="115" t="s">
        <v>21</v>
      </c>
      <c r="O39" s="115"/>
      <c r="P39" s="115"/>
      <c r="Q39" s="115"/>
      <c r="R39" s="118">
        <f t="shared" si="6"/>
        <v>0.5555555556</v>
      </c>
      <c r="S39" s="133"/>
      <c r="T39" s="4"/>
      <c r="U39" s="134"/>
      <c r="V39" s="106"/>
      <c r="W39" s="106"/>
    </row>
    <row r="40" ht="15.75" customHeight="1">
      <c r="A40" s="114">
        <f t="shared" si="1"/>
        <v>9</v>
      </c>
      <c r="B40" s="114">
        <f t="shared" si="2"/>
        <v>8</v>
      </c>
      <c r="C40" s="107" t="s">
        <v>54</v>
      </c>
      <c r="D40" s="115" t="s">
        <v>337</v>
      </c>
      <c r="E40" s="116" t="str">
        <f>image("http://www.zrarmy.com/images/arg.png", 1)</f>
        <v/>
      </c>
      <c r="F40" s="109" t="s">
        <v>158</v>
      </c>
      <c r="G40" s="115" t="s">
        <v>63</v>
      </c>
      <c r="H40" s="115" t="s">
        <v>21</v>
      </c>
      <c r="I40" s="115" t="s">
        <v>24</v>
      </c>
      <c r="J40" s="115" t="s">
        <v>21</v>
      </c>
      <c r="K40" s="115"/>
      <c r="L40" s="115"/>
      <c r="M40" s="115" t="s">
        <v>24</v>
      </c>
      <c r="N40" s="115"/>
      <c r="O40" s="115"/>
      <c r="P40" s="115"/>
      <c r="Q40" s="115"/>
      <c r="R40" s="118">
        <f t="shared" si="6"/>
        <v>0.2222222222</v>
      </c>
      <c r="S40" s="133"/>
      <c r="T40" s="4"/>
      <c r="U40" s="134"/>
      <c r="V40" s="106"/>
      <c r="W40" s="106"/>
    </row>
    <row r="41" ht="15.75" customHeight="1">
      <c r="A41" s="114">
        <f t="shared" si="1"/>
        <v>9</v>
      </c>
      <c r="B41" s="114">
        <f t="shared" si="2"/>
        <v>8</v>
      </c>
      <c r="C41" s="107" t="s">
        <v>54</v>
      </c>
      <c r="D41" s="115" t="s">
        <v>162</v>
      </c>
      <c r="E41" s="108"/>
      <c r="F41" s="109" t="s">
        <v>158</v>
      </c>
      <c r="G41" s="115" t="s">
        <v>68</v>
      </c>
      <c r="H41" s="115" t="s">
        <v>24</v>
      </c>
      <c r="I41" s="115" t="s">
        <v>24</v>
      </c>
      <c r="J41" s="115" t="s">
        <v>24</v>
      </c>
      <c r="K41" s="115" t="s">
        <v>338</v>
      </c>
      <c r="L41" s="115" t="s">
        <v>24</v>
      </c>
      <c r="M41" s="115" t="s">
        <v>21</v>
      </c>
      <c r="N41" s="115" t="s">
        <v>21</v>
      </c>
      <c r="O41" s="115"/>
      <c r="P41" s="115"/>
      <c r="Q41" s="115"/>
      <c r="R41" s="118">
        <f t="shared" si="6"/>
        <v>0.2222222222</v>
      </c>
      <c r="S41" s="133"/>
      <c r="T41" s="4"/>
      <c r="U41" s="134"/>
      <c r="V41" s="106"/>
      <c r="W41" s="106"/>
    </row>
    <row r="42" ht="15.75" customHeight="1">
      <c r="A42" s="114">
        <f t="shared" si="1"/>
        <v>9</v>
      </c>
      <c r="B42" s="114">
        <f t="shared" si="2"/>
        <v>10</v>
      </c>
      <c r="C42" s="107" t="s">
        <v>84</v>
      </c>
      <c r="D42" s="115" t="s">
        <v>208</v>
      </c>
      <c r="E42" s="116" t="str">
        <f>image("http://www.zrarmy.com/images/arg.png", 1)</f>
        <v/>
      </c>
      <c r="F42" s="109" t="s">
        <v>158</v>
      </c>
      <c r="G42" s="115" t="s">
        <v>68</v>
      </c>
      <c r="H42" s="115" t="s">
        <v>21</v>
      </c>
      <c r="I42" s="115" t="s">
        <v>21</v>
      </c>
      <c r="J42" s="115" t="s">
        <v>21</v>
      </c>
      <c r="K42" s="115" t="s">
        <v>21</v>
      </c>
      <c r="L42" s="115" t="s">
        <v>21</v>
      </c>
      <c r="M42" s="115" t="s">
        <v>21</v>
      </c>
      <c r="N42" s="115" t="s">
        <v>21</v>
      </c>
      <c r="O42" s="115"/>
      <c r="P42" s="115"/>
      <c r="Q42" s="115"/>
      <c r="R42" s="118">
        <f t="shared" si="6"/>
        <v>0.7777777778</v>
      </c>
      <c r="S42" s="133"/>
      <c r="T42" s="4"/>
      <c r="U42" s="134"/>
      <c r="V42" s="106"/>
      <c r="W42" s="106"/>
    </row>
    <row r="43" ht="15.75" customHeight="1">
      <c r="A43" s="114">
        <f t="shared" si="1"/>
        <v>9</v>
      </c>
      <c r="B43" s="114">
        <f t="shared" si="2"/>
        <v>9</v>
      </c>
      <c r="C43" s="107" t="s">
        <v>64</v>
      </c>
      <c r="D43" s="115" t="s">
        <v>175</v>
      </c>
      <c r="E43" s="108"/>
      <c r="F43" s="109" t="s">
        <v>158</v>
      </c>
      <c r="G43" s="115" t="s">
        <v>85</v>
      </c>
      <c r="H43" s="115" t="s">
        <v>37</v>
      </c>
      <c r="I43" s="115" t="s">
        <v>37</v>
      </c>
      <c r="J43" s="115" t="s">
        <v>37</v>
      </c>
      <c r="K43" s="115" t="s">
        <v>37</v>
      </c>
      <c r="L43" s="115" t="s">
        <v>37</v>
      </c>
      <c r="M43" s="115" t="s">
        <v>37</v>
      </c>
      <c r="N43" s="115" t="s">
        <v>37</v>
      </c>
      <c r="O43" s="115"/>
      <c r="P43" s="115"/>
      <c r="Q43" s="115"/>
      <c r="R43" s="118">
        <f t="shared" si="6"/>
        <v>0</v>
      </c>
      <c r="S43" s="133"/>
      <c r="T43" s="4"/>
      <c r="U43" s="134"/>
      <c r="V43" s="106"/>
      <c r="W43" s="106"/>
    </row>
    <row r="44" ht="15.75" customHeight="1">
      <c r="A44" s="114">
        <f t="shared" si="1"/>
        <v>11</v>
      </c>
      <c r="B44" s="114">
        <f t="shared" si="2"/>
        <v>7</v>
      </c>
      <c r="C44" s="107" t="s">
        <v>46</v>
      </c>
      <c r="D44" s="115" t="s">
        <v>180</v>
      </c>
      <c r="E44" s="116" t="str">
        <f>image("http://www.zrarmy.com/images/pan.jpg", 1)</f>
        <v/>
      </c>
      <c r="F44" s="109" t="s">
        <v>89</v>
      </c>
      <c r="G44" s="115"/>
      <c r="H44" s="115" t="s">
        <v>30</v>
      </c>
      <c r="I44" s="115" t="s">
        <v>30</v>
      </c>
      <c r="J44" s="115" t="s">
        <v>30</v>
      </c>
      <c r="K44" s="115" t="s">
        <v>30</v>
      </c>
      <c r="L44" s="115" t="s">
        <v>30</v>
      </c>
      <c r="M44" s="115" t="s">
        <v>30</v>
      </c>
      <c r="N44" s="115" t="s">
        <v>30</v>
      </c>
      <c r="O44" s="115" t="s">
        <v>30</v>
      </c>
      <c r="P44" s="115" t="s">
        <v>30</v>
      </c>
      <c r="Q44" s="115"/>
      <c r="R44" s="118">
        <f t="shared" si="6"/>
        <v>0</v>
      </c>
      <c r="S44" s="133"/>
      <c r="T44" s="4"/>
      <c r="U44" s="134"/>
      <c r="V44" s="106"/>
      <c r="W44" s="106"/>
    </row>
    <row r="45" ht="15.75" customHeight="1">
      <c r="A45" s="114">
        <f t="shared" si="1"/>
        <v>11</v>
      </c>
      <c r="B45" s="114">
        <f t="shared" si="2"/>
        <v>7</v>
      </c>
      <c r="C45" s="107" t="s">
        <v>46</v>
      </c>
      <c r="D45" s="115" t="s">
        <v>185</v>
      </c>
      <c r="E45" s="116" t="str">
        <f>image("http://www.zrarmy.com/images/arg.png", 1)</f>
        <v/>
      </c>
      <c r="F45" s="109" t="s">
        <v>89</v>
      </c>
      <c r="G45" s="115"/>
      <c r="H45" s="115" t="s">
        <v>21</v>
      </c>
      <c r="I45" s="115" t="s">
        <v>21</v>
      </c>
      <c r="J45" s="115" t="s">
        <v>21</v>
      </c>
      <c r="K45" s="115" t="s">
        <v>21</v>
      </c>
      <c r="L45" s="115" t="s">
        <v>21</v>
      </c>
      <c r="M45" s="115"/>
      <c r="N45" s="115"/>
      <c r="O45" s="115"/>
      <c r="P45" s="115"/>
      <c r="Q45" s="115"/>
      <c r="R45" s="118">
        <f t="shared" si="6"/>
        <v>0.5555555556</v>
      </c>
      <c r="S45" s="133"/>
      <c r="T45" s="4"/>
      <c r="U45" s="134"/>
      <c r="V45" s="106"/>
      <c r="W45" s="106"/>
    </row>
    <row r="46" ht="15.75" customHeight="1">
      <c r="A46" s="114">
        <f t="shared" si="1"/>
        <v>11</v>
      </c>
      <c r="B46" s="114">
        <f t="shared" si="2"/>
        <v>9</v>
      </c>
      <c r="C46" s="107" t="s">
        <v>64</v>
      </c>
      <c r="D46" s="115" t="s">
        <v>187</v>
      </c>
      <c r="E46" s="108"/>
      <c r="F46" s="109" t="s">
        <v>89</v>
      </c>
      <c r="G46" s="115"/>
      <c r="H46" s="115" t="s">
        <v>21</v>
      </c>
      <c r="I46" s="115" t="s">
        <v>21</v>
      </c>
      <c r="J46" s="115" t="s">
        <v>21</v>
      </c>
      <c r="K46" s="115" t="s">
        <v>21</v>
      </c>
      <c r="L46" s="115" t="s">
        <v>21</v>
      </c>
      <c r="M46" s="115"/>
      <c r="N46" s="115"/>
      <c r="O46" s="115"/>
      <c r="P46" s="115"/>
      <c r="Q46" s="115"/>
      <c r="R46" s="118">
        <f t="shared" si="6"/>
        <v>0.5555555556</v>
      </c>
      <c r="S46" s="133"/>
      <c r="T46" s="4"/>
      <c r="U46" s="134"/>
      <c r="V46" s="106"/>
      <c r="W46" s="106"/>
    </row>
    <row r="47" ht="15.75" customHeight="1">
      <c r="A47" s="114">
        <f t="shared" si="1"/>
        <v>12</v>
      </c>
      <c r="B47" s="114">
        <f t="shared" si="2"/>
        <v>7</v>
      </c>
      <c r="C47" s="107" t="s">
        <v>46</v>
      </c>
      <c r="D47" s="115" t="s">
        <v>196</v>
      </c>
      <c r="E47" s="116" t="str">
        <f>image("http://www.zrarmy.com/images/ven.jpg", 1)</f>
        <v/>
      </c>
      <c r="F47" s="109" t="s">
        <v>92</v>
      </c>
      <c r="G47" s="115" t="s">
        <v>267</v>
      </c>
      <c r="H47" s="115" t="s">
        <v>21</v>
      </c>
      <c r="I47" s="115" t="s">
        <v>21</v>
      </c>
      <c r="J47" s="115" t="s">
        <v>21</v>
      </c>
      <c r="K47" s="115" t="s">
        <v>21</v>
      </c>
      <c r="L47" s="115" t="s">
        <v>21</v>
      </c>
      <c r="M47" s="115" t="s">
        <v>21</v>
      </c>
      <c r="N47" s="115"/>
      <c r="O47" s="115"/>
      <c r="P47" s="115"/>
      <c r="Q47" s="115"/>
      <c r="R47" s="118">
        <f t="shared" si="6"/>
        <v>0.6666666667</v>
      </c>
      <c r="S47" s="133"/>
      <c r="T47" s="4"/>
      <c r="U47" s="134"/>
      <c r="V47" s="106"/>
      <c r="W47" s="106"/>
    </row>
    <row r="48" ht="15.75" customHeight="1">
      <c r="A48" s="114">
        <f t="shared" si="1"/>
        <v>12</v>
      </c>
      <c r="B48" s="114">
        <f t="shared" si="2"/>
        <v>8</v>
      </c>
      <c r="C48" s="107" t="s">
        <v>54</v>
      </c>
      <c r="D48" s="115" t="s">
        <v>193</v>
      </c>
      <c r="E48" s="108"/>
      <c r="F48" s="109" t="s">
        <v>92</v>
      </c>
      <c r="G48" s="115" t="s">
        <v>268</v>
      </c>
      <c r="H48" s="115" t="s">
        <v>37</v>
      </c>
      <c r="I48" s="115" t="s">
        <v>37</v>
      </c>
      <c r="J48" s="115" t="s">
        <v>37</v>
      </c>
      <c r="K48" s="115" t="s">
        <v>37</v>
      </c>
      <c r="L48" s="115" t="s">
        <v>37</v>
      </c>
      <c r="M48" s="115" t="s">
        <v>37</v>
      </c>
      <c r="N48" s="115"/>
      <c r="O48" s="115"/>
      <c r="P48" s="115"/>
      <c r="Q48" s="115"/>
      <c r="R48" s="118">
        <f t="shared" si="6"/>
        <v>0</v>
      </c>
      <c r="S48" s="133"/>
      <c r="T48" s="4"/>
      <c r="U48" s="134"/>
      <c r="V48" s="106"/>
      <c r="W48" s="106"/>
    </row>
    <row r="49" ht="15.75" customHeight="1">
      <c r="A49" s="114">
        <f t="shared" si="1"/>
        <v>12</v>
      </c>
      <c r="B49" s="114">
        <f t="shared" si="2"/>
        <v>8</v>
      </c>
      <c r="C49" s="107" t="s">
        <v>54</v>
      </c>
      <c r="D49" s="115" t="s">
        <v>190</v>
      </c>
      <c r="E49" s="116" t="str">
        <f>image("http://www.zrarmy.com/images/jp.jpg", 1)</f>
        <v/>
      </c>
      <c r="F49" s="109" t="s">
        <v>92</v>
      </c>
      <c r="G49" s="115"/>
      <c r="H49" s="115" t="s">
        <v>21</v>
      </c>
      <c r="I49" s="115" t="s">
        <v>21</v>
      </c>
      <c r="J49" s="115" t="s">
        <v>21</v>
      </c>
      <c r="K49" s="115" t="s">
        <v>21</v>
      </c>
      <c r="L49" s="115" t="s">
        <v>21</v>
      </c>
      <c r="M49" s="115" t="s">
        <v>21</v>
      </c>
      <c r="N49" s="115"/>
      <c r="O49" s="115"/>
      <c r="P49" s="115"/>
      <c r="Q49" s="115"/>
      <c r="R49" s="118">
        <f t="shared" si="6"/>
        <v>0.6666666667</v>
      </c>
      <c r="S49" s="133"/>
      <c r="T49" s="4"/>
      <c r="U49" s="134"/>
      <c r="V49" s="106"/>
      <c r="W49" s="106"/>
    </row>
    <row r="50" ht="15.75" customHeight="1">
      <c r="A50" s="114">
        <f t="shared" si="1"/>
        <v>12</v>
      </c>
      <c r="B50" s="114">
        <f t="shared" si="2"/>
        <v>8</v>
      </c>
      <c r="C50" s="107" t="s">
        <v>54</v>
      </c>
      <c r="D50" s="115" t="s">
        <v>188</v>
      </c>
      <c r="E50" s="116" t="str">
        <f>image("http://www.zrarmy.com/images/mex.jpg", 1)</f>
        <v/>
      </c>
      <c r="F50" s="109" t="s">
        <v>92</v>
      </c>
      <c r="G50" s="115"/>
      <c r="H50" s="115" t="s">
        <v>21</v>
      </c>
      <c r="I50" s="115" t="s">
        <v>21</v>
      </c>
      <c r="J50" s="115" t="s">
        <v>21</v>
      </c>
      <c r="K50" s="115" t="s">
        <v>21</v>
      </c>
      <c r="L50" s="115" t="s">
        <v>21</v>
      </c>
      <c r="M50" s="115" t="s">
        <v>37</v>
      </c>
      <c r="N50" s="115"/>
      <c r="O50" s="115"/>
      <c r="P50" s="115"/>
      <c r="Q50" s="115"/>
      <c r="R50" s="118">
        <f t="shared" si="6"/>
        <v>0.5555555556</v>
      </c>
      <c r="S50" s="133"/>
      <c r="T50" s="4"/>
      <c r="U50" s="134"/>
      <c r="V50" s="106"/>
      <c r="W50" s="106"/>
    </row>
    <row r="51" ht="15.75" customHeight="1">
      <c r="A51" s="114">
        <f t="shared" si="1"/>
        <v>12</v>
      </c>
      <c r="B51" s="114">
        <f t="shared" si="2"/>
        <v>10</v>
      </c>
      <c r="C51" s="107" t="s">
        <v>84</v>
      </c>
      <c r="D51" s="115" t="s">
        <v>297</v>
      </c>
      <c r="E51" s="116" t="str">
        <f>image("http://www.zrarmy.com/images/par.jpg", 1)</f>
        <v/>
      </c>
      <c r="F51" s="109" t="s">
        <v>92</v>
      </c>
      <c r="G51" s="115"/>
      <c r="H51" s="115" t="s">
        <v>24</v>
      </c>
      <c r="I51" s="115" t="s">
        <v>24</v>
      </c>
      <c r="J51" s="115" t="s">
        <v>21</v>
      </c>
      <c r="K51" s="115" t="s">
        <v>24</v>
      </c>
      <c r="L51" s="115" t="s">
        <v>24</v>
      </c>
      <c r="M51" s="115" t="s">
        <v>24</v>
      </c>
      <c r="N51" s="115"/>
      <c r="O51" s="115"/>
      <c r="P51" s="115"/>
      <c r="Q51" s="115"/>
      <c r="R51" s="118">
        <f t="shared" si="6"/>
        <v>0.1111111111</v>
      </c>
      <c r="S51" s="133"/>
      <c r="T51" s="4"/>
      <c r="U51" s="134"/>
      <c r="V51" s="106"/>
      <c r="W51" s="106"/>
    </row>
    <row r="52" ht="15.75" customHeight="1">
      <c r="A52" s="114">
        <f t="shared" si="1"/>
        <v>13</v>
      </c>
      <c r="B52" s="114">
        <f t="shared" si="2"/>
        <v>9</v>
      </c>
      <c r="C52" s="107" t="s">
        <v>64</v>
      </c>
      <c r="D52" s="115" t="s">
        <v>242</v>
      </c>
      <c r="E52" s="177"/>
      <c r="F52" s="117" t="s">
        <v>95</v>
      </c>
      <c r="G52" s="115" t="s">
        <v>171</v>
      </c>
      <c r="H52" s="115" t="s">
        <v>21</v>
      </c>
      <c r="I52" s="115" t="s">
        <v>21</v>
      </c>
      <c r="J52" s="115" t="s">
        <v>21</v>
      </c>
      <c r="K52" s="115"/>
      <c r="L52" s="115"/>
      <c r="M52" s="115"/>
      <c r="N52" s="115"/>
      <c r="O52" s="115"/>
      <c r="P52" s="115"/>
      <c r="Q52" s="115"/>
      <c r="R52" s="118">
        <f t="shared" si="6"/>
        <v>0.3333333333</v>
      </c>
      <c r="S52" s="133"/>
      <c r="T52" s="4"/>
      <c r="U52" s="134"/>
      <c r="V52" s="106"/>
      <c r="W52" s="106"/>
    </row>
    <row r="53" ht="15.75" customHeight="1">
      <c r="A53" s="114">
        <f t="shared" si="1"/>
        <v>13</v>
      </c>
      <c r="B53" s="114">
        <f t="shared" si="2"/>
        <v>6</v>
      </c>
      <c r="C53" s="153" t="s">
        <v>113</v>
      </c>
      <c r="D53" s="114" t="s">
        <v>298</v>
      </c>
      <c r="E53" s="116" t="str">
        <f>image("http://www.zrarmy.com/images/ven.jpg", 1)</f>
        <v/>
      </c>
      <c r="F53" s="109" t="s">
        <v>95</v>
      </c>
      <c r="G53" s="115" t="s">
        <v>299</v>
      </c>
      <c r="H53" s="115" t="s">
        <v>21</v>
      </c>
      <c r="I53" s="115" t="s">
        <v>24</v>
      </c>
      <c r="J53" s="115" t="s">
        <v>21</v>
      </c>
      <c r="K53" s="115"/>
      <c r="L53" s="115"/>
      <c r="M53" s="115"/>
      <c r="N53" s="115"/>
      <c r="O53" s="115"/>
      <c r="P53" s="115"/>
      <c r="Q53" s="115"/>
      <c r="R53" s="118">
        <f t="shared" si="6"/>
        <v>0.2222222222</v>
      </c>
      <c r="S53" s="133"/>
      <c r="T53" s="4"/>
      <c r="U53" s="134"/>
      <c r="V53" s="106"/>
      <c r="W53" s="106"/>
    </row>
    <row r="54" ht="15.75" customHeight="1">
      <c r="A54" s="114">
        <f t="shared" si="1"/>
        <v>13</v>
      </c>
      <c r="B54" s="114">
        <f t="shared" si="2"/>
        <v>9</v>
      </c>
      <c r="C54" s="107" t="s">
        <v>64</v>
      </c>
      <c r="D54" s="115" t="s">
        <v>215</v>
      </c>
      <c r="E54" s="116" t="str">
        <f t="shared" ref="E54:E55" si="9">image("http://www.zrarmy.com/images/arg.png", 1)</f>
        <v/>
      </c>
      <c r="F54" s="117" t="s">
        <v>95</v>
      </c>
      <c r="G54" s="115"/>
      <c r="H54" s="115" t="s">
        <v>21</v>
      </c>
      <c r="I54" s="115" t="s">
        <v>24</v>
      </c>
      <c r="J54" s="115" t="s">
        <v>24</v>
      </c>
      <c r="K54" s="115"/>
      <c r="L54" s="115"/>
      <c r="M54" s="115"/>
      <c r="N54" s="115"/>
      <c r="O54" s="115"/>
      <c r="P54" s="115"/>
      <c r="Q54" s="115"/>
      <c r="R54" s="118">
        <f t="shared" si="6"/>
        <v>0.1111111111</v>
      </c>
      <c r="S54" s="133"/>
      <c r="T54" s="4"/>
      <c r="U54" s="134"/>
      <c r="V54" s="106"/>
      <c r="W54" s="106"/>
    </row>
    <row r="55" ht="15.75" customHeight="1">
      <c r="A55" s="114">
        <f t="shared" si="1"/>
        <v>13</v>
      </c>
      <c r="B55" s="114">
        <f t="shared" si="2"/>
        <v>9</v>
      </c>
      <c r="C55" s="107" t="s">
        <v>64</v>
      </c>
      <c r="D55" s="115" t="s">
        <v>75</v>
      </c>
      <c r="E55" s="116" t="str">
        <f t="shared" si="9"/>
        <v/>
      </c>
      <c r="F55" s="109" t="s">
        <v>95</v>
      </c>
      <c r="G55" s="115"/>
      <c r="H55" s="115" t="s">
        <v>21</v>
      </c>
      <c r="I55" s="115" t="s">
        <v>21</v>
      </c>
      <c r="J55" s="115" t="s">
        <v>24</v>
      </c>
      <c r="K55" s="115"/>
      <c r="L55" s="115"/>
      <c r="M55" s="115"/>
      <c r="N55" s="115"/>
      <c r="O55" s="115"/>
      <c r="P55" s="115"/>
      <c r="Q55" s="115"/>
      <c r="R55" s="118">
        <f t="shared" si="6"/>
        <v>0.2222222222</v>
      </c>
      <c r="S55" s="133"/>
      <c r="T55" s="4"/>
      <c r="U55" s="134"/>
      <c r="V55" s="106"/>
      <c r="W55" s="106"/>
    </row>
    <row r="56" ht="15.75" customHeight="1">
      <c r="A56" s="114">
        <f t="shared" si="1"/>
        <v>15</v>
      </c>
      <c r="B56" s="114">
        <f t="shared" si="2"/>
        <v>7</v>
      </c>
      <c r="C56" s="153" t="s">
        <v>46</v>
      </c>
      <c r="D56" s="115" t="s">
        <v>272</v>
      </c>
      <c r="E56" s="116" t="str">
        <f>image("http://www.zrarmy.com/images/pan.jpg", 1)</f>
        <v/>
      </c>
      <c r="F56" s="109" t="s">
        <v>101</v>
      </c>
      <c r="G56" s="115" t="s">
        <v>101</v>
      </c>
      <c r="H56" s="115" t="s">
        <v>30</v>
      </c>
      <c r="I56" s="115" t="s">
        <v>30</v>
      </c>
      <c r="J56" s="115" t="s">
        <v>30</v>
      </c>
      <c r="K56" s="115" t="s">
        <v>30</v>
      </c>
      <c r="L56" s="115" t="s">
        <v>30</v>
      </c>
      <c r="M56" s="115" t="s">
        <v>30</v>
      </c>
      <c r="N56" s="115" t="s">
        <v>30</v>
      </c>
      <c r="O56" s="115" t="s">
        <v>30</v>
      </c>
      <c r="P56" s="115" t="s">
        <v>30</v>
      </c>
      <c r="Q56" s="115"/>
      <c r="R56" s="118">
        <f t="shared" si="6"/>
        <v>0</v>
      </c>
      <c r="S56" s="133"/>
      <c r="T56" s="4"/>
      <c r="U56" s="134"/>
      <c r="V56" s="106"/>
      <c r="W56" s="106"/>
    </row>
    <row r="57" ht="15.75" customHeight="1">
      <c r="A57" s="114">
        <f t="shared" si="1"/>
        <v>15</v>
      </c>
      <c r="B57" s="114">
        <f t="shared" si="2"/>
        <v>8</v>
      </c>
      <c r="C57" s="178" t="s">
        <v>54</v>
      </c>
      <c r="D57" s="179" t="s">
        <v>340</v>
      </c>
      <c r="E57" s="180" t="str">
        <f>image("http://www.zrarmy.com/images/arg.png", 1)</f>
        <v/>
      </c>
      <c r="F57" s="181" t="s">
        <v>101</v>
      </c>
      <c r="G57" s="179" t="s">
        <v>101</v>
      </c>
      <c r="H57" s="115" t="s">
        <v>30</v>
      </c>
      <c r="I57" s="115" t="s">
        <v>30</v>
      </c>
      <c r="J57" s="115" t="s">
        <v>30</v>
      </c>
      <c r="K57" s="115" t="s">
        <v>30</v>
      </c>
      <c r="L57" s="115" t="s">
        <v>30</v>
      </c>
      <c r="M57" s="115" t="s">
        <v>30</v>
      </c>
      <c r="N57" s="115" t="s">
        <v>30</v>
      </c>
      <c r="O57" s="115" t="s">
        <v>30</v>
      </c>
      <c r="P57" s="115" t="s">
        <v>30</v>
      </c>
      <c r="Q57" s="115"/>
      <c r="R57" s="118">
        <f t="shared" si="6"/>
        <v>0</v>
      </c>
      <c r="S57" s="133"/>
      <c r="T57" s="4"/>
      <c r="U57" s="134"/>
      <c r="V57" s="106"/>
      <c r="W57" s="106"/>
    </row>
    <row r="58" ht="15.75" customHeight="1">
      <c r="A58" s="114">
        <f t="shared" si="1"/>
        <v>15</v>
      </c>
      <c r="B58" s="114">
        <f t="shared" si="2"/>
        <v>9</v>
      </c>
      <c r="C58" s="107" t="s">
        <v>64</v>
      </c>
      <c r="D58" s="115" t="s">
        <v>107</v>
      </c>
      <c r="E58" s="116" t="str">
        <f>image("http://www.zrarmy.com/images/ven.jpg", 1)</f>
        <v/>
      </c>
      <c r="F58" s="109" t="s">
        <v>101</v>
      </c>
      <c r="G58" s="115" t="s">
        <v>101</v>
      </c>
      <c r="H58" s="115" t="s">
        <v>30</v>
      </c>
      <c r="I58" s="115" t="s">
        <v>30</v>
      </c>
      <c r="J58" s="115" t="s">
        <v>30</v>
      </c>
      <c r="K58" s="115" t="s">
        <v>30</v>
      </c>
      <c r="L58" s="115" t="s">
        <v>30</v>
      </c>
      <c r="M58" s="115" t="s">
        <v>30</v>
      </c>
      <c r="N58" s="115" t="s">
        <v>30</v>
      </c>
      <c r="O58" s="115" t="s">
        <v>30</v>
      </c>
      <c r="P58" s="115" t="s">
        <v>30</v>
      </c>
      <c r="Q58" s="115"/>
      <c r="R58" s="118">
        <f t="shared" si="6"/>
        <v>0</v>
      </c>
      <c r="S58" s="133"/>
      <c r="T58" s="4"/>
      <c r="U58" s="134"/>
      <c r="V58" s="106"/>
      <c r="W58" s="106"/>
    </row>
    <row r="59" ht="15.75" customHeight="1">
      <c r="A59" s="114">
        <f t="shared" si="1"/>
        <v>15</v>
      </c>
      <c r="B59" s="114">
        <f t="shared" si="2"/>
        <v>9</v>
      </c>
      <c r="C59" s="107" t="s">
        <v>64</v>
      </c>
      <c r="D59" s="115" t="s">
        <v>138</v>
      </c>
      <c r="E59" s="116" t="str">
        <f>image("http://www.zrarmy.com/images/mex.jpg", 1)</f>
        <v/>
      </c>
      <c r="F59" s="109" t="s">
        <v>101</v>
      </c>
      <c r="G59" s="115" t="s">
        <v>101</v>
      </c>
      <c r="H59" s="115" t="s">
        <v>30</v>
      </c>
      <c r="I59" s="115" t="s">
        <v>30</v>
      </c>
      <c r="J59" s="115" t="s">
        <v>30</v>
      </c>
      <c r="K59" s="115" t="s">
        <v>30</v>
      </c>
      <c r="L59" s="115" t="s">
        <v>30</v>
      </c>
      <c r="M59" s="115" t="s">
        <v>30</v>
      </c>
      <c r="N59" s="115" t="s">
        <v>30</v>
      </c>
      <c r="O59" s="115" t="s">
        <v>30</v>
      </c>
      <c r="P59" s="115" t="s">
        <v>30</v>
      </c>
      <c r="Q59" s="115"/>
      <c r="R59" s="118">
        <f t="shared" si="6"/>
        <v>0</v>
      </c>
      <c r="S59" s="133"/>
      <c r="T59" s="4"/>
      <c r="U59" s="134"/>
      <c r="V59" s="106"/>
      <c r="W59" s="106"/>
    </row>
    <row r="60" ht="15.75" customHeight="1">
      <c r="A60" s="114">
        <f t="shared" si="1"/>
        <v>15</v>
      </c>
      <c r="B60" s="114">
        <f t="shared" si="2"/>
        <v>10</v>
      </c>
      <c r="C60" s="107" t="s">
        <v>84</v>
      </c>
      <c r="D60" s="115" t="s">
        <v>302</v>
      </c>
      <c r="E60" s="116" t="str">
        <f>image("http://www.zrarmy.com/images/arg.png", 1)</f>
        <v/>
      </c>
      <c r="F60" s="109" t="s">
        <v>101</v>
      </c>
      <c r="G60" s="115" t="s">
        <v>101</v>
      </c>
      <c r="H60" s="115" t="s">
        <v>30</v>
      </c>
      <c r="I60" s="115" t="s">
        <v>30</v>
      </c>
      <c r="J60" s="115" t="s">
        <v>30</v>
      </c>
      <c r="K60" s="115" t="s">
        <v>30</v>
      </c>
      <c r="L60" s="115" t="s">
        <v>30</v>
      </c>
      <c r="M60" s="106" t="s">
        <v>30</v>
      </c>
      <c r="N60" s="115" t="s">
        <v>30</v>
      </c>
      <c r="O60" s="115" t="s">
        <v>30</v>
      </c>
      <c r="P60" s="115" t="s">
        <v>30</v>
      </c>
      <c r="Q60" s="115"/>
      <c r="R60" s="118">
        <f t="shared" si="6"/>
        <v>0</v>
      </c>
      <c r="S60" s="133"/>
      <c r="T60" s="4"/>
      <c r="U60" s="134"/>
      <c r="V60" s="106"/>
      <c r="W60" s="106"/>
    </row>
    <row r="61" ht="15.75" customHeight="1">
      <c r="A61" s="114">
        <f t="shared" si="1"/>
        <v>15</v>
      </c>
      <c r="B61" s="114">
        <f t="shared" si="2"/>
        <v>10</v>
      </c>
      <c r="C61" s="107" t="s">
        <v>84</v>
      </c>
      <c r="D61" s="115" t="s">
        <v>304</v>
      </c>
      <c r="E61" s="163"/>
      <c r="F61" s="109" t="s">
        <v>101</v>
      </c>
      <c r="G61" s="115" t="s">
        <v>101</v>
      </c>
      <c r="H61" s="115" t="s">
        <v>30</v>
      </c>
      <c r="I61" s="115" t="s">
        <v>30</v>
      </c>
      <c r="J61" s="115" t="s">
        <v>30</v>
      </c>
      <c r="K61" s="115" t="s">
        <v>30</v>
      </c>
      <c r="L61" s="115" t="s">
        <v>30</v>
      </c>
      <c r="M61" s="115" t="s">
        <v>30</v>
      </c>
      <c r="N61" s="115" t="s">
        <v>30</v>
      </c>
      <c r="O61" s="115" t="s">
        <v>30</v>
      </c>
      <c r="P61" s="115" t="s">
        <v>30</v>
      </c>
      <c r="Q61" s="115"/>
      <c r="R61" s="118">
        <f t="shared" si="6"/>
        <v>0</v>
      </c>
      <c r="S61" s="133"/>
      <c r="T61" s="4"/>
      <c r="U61" s="134"/>
      <c r="V61" s="106"/>
      <c r="W61" s="106"/>
    </row>
    <row r="62" ht="15.75" customHeight="1">
      <c r="A62" s="114">
        <f t="shared" si="1"/>
        <v>15</v>
      </c>
      <c r="B62" s="114">
        <f t="shared" si="2"/>
        <v>10</v>
      </c>
      <c r="C62" s="178" t="s">
        <v>84</v>
      </c>
      <c r="D62" s="179" t="s">
        <v>341</v>
      </c>
      <c r="E62" s="182"/>
      <c r="F62" s="181" t="s">
        <v>101</v>
      </c>
      <c r="G62" s="179" t="s">
        <v>101</v>
      </c>
      <c r="H62" s="115" t="s">
        <v>30</v>
      </c>
      <c r="I62" s="115" t="s">
        <v>30</v>
      </c>
      <c r="J62" s="115" t="s">
        <v>30</v>
      </c>
      <c r="K62" s="115" t="s">
        <v>30</v>
      </c>
      <c r="L62" s="115" t="s">
        <v>30</v>
      </c>
      <c r="M62" s="115" t="s">
        <v>30</v>
      </c>
      <c r="N62" s="115" t="s">
        <v>30</v>
      </c>
      <c r="O62" s="115" t="s">
        <v>30</v>
      </c>
      <c r="P62" s="115" t="s">
        <v>30</v>
      </c>
      <c r="Q62" s="115"/>
      <c r="R62" s="118">
        <f t="shared" si="6"/>
        <v>0</v>
      </c>
      <c r="S62" s="133"/>
      <c r="T62" s="4"/>
      <c r="U62" s="134"/>
      <c r="V62" s="106"/>
      <c r="W62" s="106"/>
    </row>
    <row r="63" ht="15.75" customHeight="1">
      <c r="A63" s="114">
        <f t="shared" si="1"/>
        <v>15</v>
      </c>
      <c r="B63" s="114">
        <f t="shared" si="2"/>
        <v>10</v>
      </c>
      <c r="C63" s="178" t="s">
        <v>84</v>
      </c>
      <c r="D63" s="179" t="s">
        <v>342</v>
      </c>
      <c r="E63" s="182"/>
      <c r="F63" s="181" t="s">
        <v>101</v>
      </c>
      <c r="G63" s="179" t="s">
        <v>101</v>
      </c>
      <c r="H63" s="115" t="s">
        <v>30</v>
      </c>
      <c r="I63" s="115" t="s">
        <v>30</v>
      </c>
      <c r="J63" s="115" t="s">
        <v>30</v>
      </c>
      <c r="K63" s="115" t="s">
        <v>30</v>
      </c>
      <c r="L63" s="115" t="s">
        <v>30</v>
      </c>
      <c r="M63" s="115" t="s">
        <v>30</v>
      </c>
      <c r="N63" s="115" t="s">
        <v>30</v>
      </c>
      <c r="O63" s="115" t="s">
        <v>30</v>
      </c>
      <c r="P63" s="115" t="s">
        <v>30</v>
      </c>
      <c r="Q63" s="115"/>
      <c r="R63" s="118">
        <f t="shared" si="6"/>
        <v>0</v>
      </c>
      <c r="S63" s="133"/>
      <c r="T63" s="4"/>
      <c r="U63" s="134"/>
      <c r="V63" s="106"/>
      <c r="W63" s="106"/>
    </row>
    <row r="64" ht="15.75" customHeight="1">
      <c r="A64" s="114">
        <f t="shared" si="1"/>
        <v>15</v>
      </c>
      <c r="B64" s="114">
        <f t="shared" si="2"/>
        <v>10</v>
      </c>
      <c r="C64" s="107" t="s">
        <v>84</v>
      </c>
      <c r="D64" s="115" t="s">
        <v>303</v>
      </c>
      <c r="E64" s="108"/>
      <c r="F64" s="109" t="s">
        <v>101</v>
      </c>
      <c r="G64" s="115" t="s">
        <v>101</v>
      </c>
      <c r="H64" s="115" t="s">
        <v>30</v>
      </c>
      <c r="I64" s="115" t="s">
        <v>30</v>
      </c>
      <c r="J64" s="115" t="s">
        <v>30</v>
      </c>
      <c r="K64" s="115" t="s">
        <v>30</v>
      </c>
      <c r="L64" s="115" t="s">
        <v>30</v>
      </c>
      <c r="M64" s="115" t="s">
        <v>30</v>
      </c>
      <c r="N64" s="115" t="s">
        <v>30</v>
      </c>
      <c r="O64" s="115" t="s">
        <v>30</v>
      </c>
      <c r="P64" s="115" t="s">
        <v>30</v>
      </c>
      <c r="Q64" s="115"/>
      <c r="R64" s="118">
        <f t="shared" si="6"/>
        <v>0</v>
      </c>
      <c r="S64" s="133"/>
      <c r="T64" s="4"/>
      <c r="U64" s="134"/>
      <c r="V64" s="106"/>
      <c r="W64" s="106"/>
    </row>
    <row r="65" ht="15.75" customHeight="1">
      <c r="A65" s="114">
        <f t="shared" si="1"/>
        <v>15</v>
      </c>
      <c r="B65" s="114">
        <f t="shared" si="2"/>
        <v>10</v>
      </c>
      <c r="C65" s="178" t="s">
        <v>84</v>
      </c>
      <c r="D65" s="179" t="s">
        <v>343</v>
      </c>
      <c r="E65" s="182"/>
      <c r="F65" s="181" t="s">
        <v>101</v>
      </c>
      <c r="G65" s="179" t="s">
        <v>101</v>
      </c>
      <c r="H65" s="115" t="s">
        <v>30</v>
      </c>
      <c r="I65" s="115" t="s">
        <v>30</v>
      </c>
      <c r="J65" s="115" t="s">
        <v>30</v>
      </c>
      <c r="K65" s="115" t="s">
        <v>30</v>
      </c>
      <c r="L65" s="115" t="s">
        <v>30</v>
      </c>
      <c r="M65" s="115" t="s">
        <v>30</v>
      </c>
      <c r="N65" s="115" t="s">
        <v>30</v>
      </c>
      <c r="O65" s="115" t="s">
        <v>30</v>
      </c>
      <c r="P65" s="115" t="s">
        <v>30</v>
      </c>
      <c r="Q65" s="115"/>
      <c r="R65" s="118">
        <f t="shared" si="6"/>
        <v>0</v>
      </c>
      <c r="S65" s="133"/>
      <c r="T65" s="4"/>
      <c r="U65" s="134"/>
      <c r="V65" s="106"/>
      <c r="W65" s="106"/>
    </row>
    <row r="66" ht="15.75" customHeight="1">
      <c r="A66" s="114">
        <f t="shared" si="1"/>
        <v>15</v>
      </c>
      <c r="B66" s="114">
        <f t="shared" si="2"/>
        <v>10</v>
      </c>
      <c r="C66" s="107" t="s">
        <v>84</v>
      </c>
      <c r="D66" s="115" t="s">
        <v>228</v>
      </c>
      <c r="E66" s="124" t="str">
        <f>image("http://www.zrarmy.com/images/arg.png", 1)</f>
        <v/>
      </c>
      <c r="F66" s="109" t="s">
        <v>101</v>
      </c>
      <c r="G66" s="115" t="s">
        <v>101</v>
      </c>
      <c r="H66" s="115" t="s">
        <v>30</v>
      </c>
      <c r="I66" s="115" t="s">
        <v>30</v>
      </c>
      <c r="J66" s="115" t="s">
        <v>30</v>
      </c>
      <c r="K66" s="115" t="s">
        <v>30</v>
      </c>
      <c r="L66" s="115" t="s">
        <v>30</v>
      </c>
      <c r="M66" s="115" t="s">
        <v>30</v>
      </c>
      <c r="N66" s="115" t="s">
        <v>30</v>
      </c>
      <c r="O66" s="115" t="s">
        <v>30</v>
      </c>
      <c r="P66" s="115" t="s">
        <v>30</v>
      </c>
      <c r="Q66" s="115"/>
      <c r="R66" s="118">
        <f t="shared" si="6"/>
        <v>0</v>
      </c>
      <c r="S66" s="133"/>
      <c r="T66" s="4"/>
      <c r="U66" s="134"/>
      <c r="V66" s="106"/>
      <c r="W66" s="106"/>
    </row>
    <row r="67" ht="15.75" customHeight="1">
      <c r="A67" s="114">
        <f t="shared" si="1"/>
        <v>15</v>
      </c>
      <c r="B67" s="114">
        <f t="shared" si="2"/>
        <v>11</v>
      </c>
      <c r="C67" s="107" t="s">
        <v>79</v>
      </c>
      <c r="D67" s="115" t="s">
        <v>307</v>
      </c>
      <c r="E67" s="108"/>
      <c r="F67" s="109" t="s">
        <v>101</v>
      </c>
      <c r="G67" s="115" t="s">
        <v>101</v>
      </c>
      <c r="H67" s="115" t="s">
        <v>30</v>
      </c>
      <c r="I67" s="115" t="s">
        <v>30</v>
      </c>
      <c r="J67" s="115" t="s">
        <v>30</v>
      </c>
      <c r="K67" s="115" t="s">
        <v>30</v>
      </c>
      <c r="L67" s="115" t="s">
        <v>30</v>
      </c>
      <c r="M67" s="115" t="s">
        <v>30</v>
      </c>
      <c r="N67" s="115" t="s">
        <v>30</v>
      </c>
      <c r="O67" s="115" t="s">
        <v>30</v>
      </c>
      <c r="P67" s="115" t="s">
        <v>30</v>
      </c>
      <c r="Q67" s="115"/>
      <c r="R67" s="118">
        <f t="shared" si="6"/>
        <v>0</v>
      </c>
      <c r="S67" s="133"/>
      <c r="T67" s="4"/>
      <c r="U67" s="134"/>
      <c r="V67" s="106"/>
      <c r="W67" s="106"/>
    </row>
    <row r="68" ht="15.75" customHeight="1">
      <c r="A68" s="114">
        <f t="shared" si="1"/>
        <v>15</v>
      </c>
      <c r="B68" s="114">
        <f t="shared" si="2"/>
        <v>11</v>
      </c>
      <c r="C68" s="178" t="s">
        <v>79</v>
      </c>
      <c r="D68" s="179" t="s">
        <v>344</v>
      </c>
      <c r="E68" s="183" t="str">
        <f>image("http://www.zrarmy.com/images/arg.png", 1)</f>
        <v/>
      </c>
      <c r="F68" s="181" t="s">
        <v>101</v>
      </c>
      <c r="G68" s="179" t="s">
        <v>101</v>
      </c>
      <c r="H68" s="115" t="s">
        <v>30</v>
      </c>
      <c r="I68" s="115" t="s">
        <v>30</v>
      </c>
      <c r="J68" s="115" t="s">
        <v>30</v>
      </c>
      <c r="K68" s="115" t="s">
        <v>30</v>
      </c>
      <c r="L68" s="115" t="s">
        <v>30</v>
      </c>
      <c r="M68" s="115" t="s">
        <v>30</v>
      </c>
      <c r="N68" s="115" t="s">
        <v>30</v>
      </c>
      <c r="O68" s="115" t="s">
        <v>30</v>
      </c>
      <c r="P68" s="115" t="s">
        <v>30</v>
      </c>
      <c r="Q68" s="115"/>
      <c r="R68" s="118">
        <f t="shared" si="6"/>
        <v>0</v>
      </c>
      <c r="S68" s="133"/>
      <c r="T68" s="4"/>
      <c r="U68" s="134"/>
      <c r="V68" s="106"/>
      <c r="W68" s="106"/>
    </row>
    <row r="69" ht="15.75" customHeight="1">
      <c r="A69" s="114">
        <f t="shared" si="1"/>
        <v>15</v>
      </c>
      <c r="B69" s="114">
        <f t="shared" si="2"/>
        <v>11</v>
      </c>
      <c r="C69" s="178" t="s">
        <v>79</v>
      </c>
      <c r="D69" s="179" t="s">
        <v>347</v>
      </c>
      <c r="E69" s="182"/>
      <c r="F69" s="181" t="s">
        <v>101</v>
      </c>
      <c r="G69" s="179" t="s">
        <v>101</v>
      </c>
      <c r="H69" s="115" t="s">
        <v>30</v>
      </c>
      <c r="I69" s="115" t="s">
        <v>30</v>
      </c>
      <c r="J69" s="115" t="s">
        <v>30</v>
      </c>
      <c r="K69" s="115" t="s">
        <v>30</v>
      </c>
      <c r="L69" s="115" t="s">
        <v>30</v>
      </c>
      <c r="M69" s="115" t="s">
        <v>30</v>
      </c>
      <c r="N69" s="115" t="s">
        <v>30</v>
      </c>
      <c r="O69" s="115" t="s">
        <v>30</v>
      </c>
      <c r="P69" s="115" t="s">
        <v>30</v>
      </c>
      <c r="Q69" s="115"/>
      <c r="R69" s="118">
        <f t="shared" si="6"/>
        <v>0</v>
      </c>
      <c r="S69" s="133"/>
      <c r="T69" s="4"/>
      <c r="U69" s="134"/>
      <c r="V69" s="106"/>
      <c r="W69" s="106"/>
    </row>
    <row r="70" ht="15.75" customHeight="1">
      <c r="A70" s="114">
        <f t="shared" si="1"/>
        <v>15</v>
      </c>
      <c r="B70" s="114">
        <f t="shared" si="2"/>
        <v>11</v>
      </c>
      <c r="C70" s="107" t="s">
        <v>79</v>
      </c>
      <c r="D70" s="115" t="s">
        <v>308</v>
      </c>
      <c r="E70" s="108"/>
      <c r="F70" s="109" t="s">
        <v>101</v>
      </c>
      <c r="G70" s="115" t="s">
        <v>101</v>
      </c>
      <c r="H70" s="115" t="s">
        <v>30</v>
      </c>
      <c r="I70" s="115" t="s">
        <v>30</v>
      </c>
      <c r="J70" s="115" t="s">
        <v>30</v>
      </c>
      <c r="K70" s="115" t="s">
        <v>30</v>
      </c>
      <c r="L70" s="115" t="s">
        <v>30</v>
      </c>
      <c r="M70" s="115" t="s">
        <v>30</v>
      </c>
      <c r="N70" s="115" t="s">
        <v>30</v>
      </c>
      <c r="O70" s="115" t="s">
        <v>30</v>
      </c>
      <c r="P70" s="115" t="s">
        <v>30</v>
      </c>
      <c r="Q70" s="115"/>
      <c r="R70" s="118">
        <f t="shared" si="6"/>
        <v>0</v>
      </c>
      <c r="S70" s="133"/>
      <c r="T70" s="4"/>
      <c r="U70" s="134"/>
      <c r="V70" s="106"/>
      <c r="W70" s="106"/>
    </row>
    <row r="71" ht="15.75" customHeight="1">
      <c r="A71" s="114">
        <f t="shared" si="1"/>
        <v>15</v>
      </c>
      <c r="B71" s="114">
        <f t="shared" si="2"/>
        <v>15</v>
      </c>
      <c r="C71" s="107"/>
      <c r="D71" s="115"/>
      <c r="E71" s="108"/>
      <c r="F71" s="109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8">
        <f t="shared" si="6"/>
        <v>0</v>
      </c>
      <c r="S71" s="133"/>
      <c r="T71" s="4"/>
      <c r="U71" s="134"/>
      <c r="V71" s="106"/>
      <c r="W71" s="106"/>
    </row>
    <row r="72" ht="15.75" customHeight="1">
      <c r="A72" s="114">
        <f t="shared" si="1"/>
        <v>15</v>
      </c>
      <c r="B72" s="114">
        <f t="shared" si="2"/>
        <v>15</v>
      </c>
      <c r="C72" s="107"/>
      <c r="D72" s="115"/>
      <c r="E72" s="108"/>
      <c r="F72" s="109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8">
        <f t="shared" si="6"/>
        <v>0</v>
      </c>
      <c r="S72" s="133"/>
      <c r="T72" s="4"/>
      <c r="U72" s="134"/>
      <c r="V72" s="106"/>
      <c r="W72" s="106"/>
    </row>
    <row r="73" ht="15.75" customHeight="1">
      <c r="A73" s="114">
        <f t="shared" si="1"/>
        <v>15</v>
      </c>
      <c r="B73" s="114">
        <f t="shared" si="2"/>
        <v>15</v>
      </c>
      <c r="C73" s="107"/>
      <c r="D73" s="115"/>
      <c r="E73" s="108"/>
      <c r="F73" s="109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8">
        <f t="shared" si="6"/>
        <v>0</v>
      </c>
      <c r="S73" s="133"/>
      <c r="T73" s="4"/>
      <c r="U73" s="134"/>
      <c r="V73" s="106"/>
      <c r="W73" s="106"/>
    </row>
    <row r="74" ht="15.75" customHeight="1">
      <c r="A74" s="114">
        <f t="shared" si="1"/>
        <v>15</v>
      </c>
      <c r="B74" s="114">
        <f t="shared" si="2"/>
        <v>15</v>
      </c>
      <c r="C74" s="107"/>
      <c r="D74" s="115"/>
      <c r="E74" s="108"/>
      <c r="F74" s="109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8">
        <f t="shared" si="6"/>
        <v>0</v>
      </c>
      <c r="S74" s="133"/>
      <c r="T74" s="4"/>
      <c r="U74" s="134"/>
      <c r="V74" s="106"/>
      <c r="W74" s="106"/>
    </row>
    <row r="75" ht="15.75" customHeight="1">
      <c r="A75" s="114">
        <f t="shared" si="1"/>
        <v>15</v>
      </c>
      <c r="B75" s="114">
        <f t="shared" si="2"/>
        <v>15</v>
      </c>
      <c r="C75" s="107"/>
      <c r="D75" s="115"/>
      <c r="E75" s="108"/>
      <c r="F75" s="143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8">
        <f t="shared" si="6"/>
        <v>0</v>
      </c>
      <c r="S75" s="133"/>
      <c r="T75" s="4"/>
      <c r="U75" s="134"/>
      <c r="V75" s="106"/>
      <c r="W75" s="106"/>
    </row>
    <row r="76" ht="15.75" customHeight="1">
      <c r="A76" s="114">
        <f t="shared" si="1"/>
        <v>15</v>
      </c>
      <c r="B76" s="114">
        <f t="shared" si="2"/>
        <v>15</v>
      </c>
      <c r="C76" s="107"/>
      <c r="D76" s="115"/>
      <c r="E76" s="108"/>
      <c r="F76" s="109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8">
        <f t="shared" si="6"/>
        <v>0</v>
      </c>
      <c r="S76" s="133"/>
      <c r="T76" s="4"/>
      <c r="U76" s="134"/>
      <c r="V76" s="106"/>
      <c r="W76" s="106"/>
    </row>
    <row r="77" ht="15.75" customHeight="1">
      <c r="A77" s="114">
        <f t="shared" si="1"/>
        <v>15</v>
      </c>
      <c r="B77" s="114">
        <f t="shared" si="2"/>
        <v>15</v>
      </c>
      <c r="C77" s="107"/>
      <c r="D77" s="115"/>
      <c r="E77" s="177"/>
      <c r="F77" s="117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8">
        <f t="shared" si="6"/>
        <v>0</v>
      </c>
      <c r="S77" s="133"/>
      <c r="T77" s="4"/>
      <c r="U77" s="134"/>
      <c r="V77" s="106"/>
      <c r="W77" s="106"/>
    </row>
    <row r="78" ht="15.75" customHeight="1">
      <c r="A78" s="114">
        <f t="shared" si="1"/>
        <v>15</v>
      </c>
      <c r="B78" s="114">
        <f t="shared" si="2"/>
        <v>15</v>
      </c>
      <c r="C78" s="107"/>
      <c r="D78" s="115"/>
      <c r="E78" s="108"/>
      <c r="F78" s="109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18">
        <f t="shared" si="6"/>
        <v>0</v>
      </c>
      <c r="S78" s="133"/>
      <c r="T78" s="4"/>
      <c r="U78" s="134"/>
      <c r="V78" s="106"/>
      <c r="W78" s="106"/>
    </row>
    <row r="79" ht="15.75" customHeight="1">
      <c r="A79" s="114">
        <f t="shared" si="1"/>
        <v>15</v>
      </c>
      <c r="B79" s="114">
        <f t="shared" si="2"/>
        <v>15</v>
      </c>
      <c r="C79" s="107"/>
      <c r="D79" s="115"/>
      <c r="E79" s="108"/>
      <c r="F79" s="109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18">
        <f t="shared" si="6"/>
        <v>0</v>
      </c>
      <c r="S79" s="133"/>
      <c r="T79" s="4"/>
      <c r="U79" s="134"/>
      <c r="V79" s="106"/>
      <c r="W79" s="106"/>
    </row>
    <row r="80" ht="15.75" customHeight="1">
      <c r="A80" s="114">
        <f t="shared" si="1"/>
        <v>15</v>
      </c>
      <c r="B80" s="114">
        <f t="shared" si="2"/>
        <v>15</v>
      </c>
      <c r="C80" s="107"/>
      <c r="D80" s="115"/>
      <c r="E80" s="108"/>
      <c r="F80" s="109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18">
        <f t="shared" si="6"/>
        <v>0</v>
      </c>
      <c r="S80" s="138"/>
      <c r="U80" s="138"/>
      <c r="V80" s="138"/>
      <c r="W80" s="138"/>
    </row>
    <row r="81" ht="15.75" customHeight="1">
      <c r="A81" s="114">
        <f t="shared" si="1"/>
        <v>15</v>
      </c>
      <c r="B81" s="114">
        <f t="shared" si="2"/>
        <v>15</v>
      </c>
      <c r="C81" s="107"/>
      <c r="D81" s="115"/>
      <c r="E81" s="108"/>
      <c r="F81" s="109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8">
        <f t="shared" si="6"/>
        <v>0</v>
      </c>
      <c r="S81" s="138"/>
      <c r="U81" s="138"/>
      <c r="V81" s="138"/>
      <c r="W81" s="138"/>
    </row>
    <row r="82" ht="15.75" customHeight="1">
      <c r="A82" s="114">
        <f t="shared" si="1"/>
        <v>15</v>
      </c>
      <c r="B82" s="114">
        <f t="shared" si="2"/>
        <v>15</v>
      </c>
      <c r="C82" s="107"/>
      <c r="D82" s="115"/>
      <c r="E82" s="108"/>
      <c r="F82" s="109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8">
        <f t="shared" si="6"/>
        <v>0</v>
      </c>
      <c r="S82" s="138"/>
      <c r="U82" s="138"/>
      <c r="V82" s="138"/>
      <c r="W82" s="138"/>
    </row>
    <row r="83" ht="15.75" customHeight="1">
      <c r="A83" s="114">
        <f t="shared" si="1"/>
        <v>15</v>
      </c>
      <c r="B83" s="114">
        <f t="shared" si="2"/>
        <v>15</v>
      </c>
      <c r="C83" s="107"/>
      <c r="D83" s="115"/>
      <c r="E83" s="108"/>
      <c r="F83" s="109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8">
        <f t="shared" si="6"/>
        <v>0</v>
      </c>
      <c r="S83" s="138"/>
      <c r="U83" s="138"/>
      <c r="V83" s="138"/>
      <c r="W83" s="138"/>
    </row>
    <row r="84" ht="15.75" customHeight="1">
      <c r="A84" s="114">
        <f t="shared" si="1"/>
        <v>15</v>
      </c>
      <c r="B84" s="114">
        <f t="shared" si="2"/>
        <v>15</v>
      </c>
      <c r="C84" s="107"/>
      <c r="D84" s="115"/>
      <c r="E84" s="108"/>
      <c r="F84" s="109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8">
        <f t="shared" si="6"/>
        <v>0</v>
      </c>
      <c r="S84" s="138"/>
      <c r="U84" s="138"/>
      <c r="V84" s="138"/>
      <c r="W84" s="138"/>
    </row>
    <row r="85" ht="15.75" customHeight="1">
      <c r="A85" s="114">
        <f t="shared" si="1"/>
        <v>15</v>
      </c>
      <c r="B85" s="114">
        <f t="shared" si="2"/>
        <v>15</v>
      </c>
      <c r="C85" s="107"/>
      <c r="D85" s="115"/>
      <c r="E85" s="108"/>
      <c r="F85" s="109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8">
        <f t="shared" si="6"/>
        <v>0</v>
      </c>
      <c r="S85" s="138"/>
      <c r="U85" s="138"/>
      <c r="V85" s="138"/>
      <c r="W85" s="138"/>
    </row>
    <row r="86" ht="15.75" customHeight="1">
      <c r="A86" s="114">
        <f t="shared" si="1"/>
        <v>15</v>
      </c>
      <c r="B86" s="114">
        <f t="shared" si="2"/>
        <v>15</v>
      </c>
      <c r="C86" s="107"/>
      <c r="D86" s="115"/>
      <c r="E86" s="108"/>
      <c r="F86" s="109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8">
        <f t="shared" si="6"/>
        <v>0</v>
      </c>
      <c r="S86" s="138"/>
      <c r="U86" s="138"/>
      <c r="V86" s="138"/>
      <c r="W86" s="138"/>
    </row>
    <row r="87" ht="15.75" customHeight="1">
      <c r="A87" s="114">
        <f t="shared" si="1"/>
        <v>15</v>
      </c>
      <c r="B87" s="114">
        <f t="shared" si="2"/>
        <v>15</v>
      </c>
      <c r="C87" s="107"/>
      <c r="D87" s="115"/>
      <c r="E87" s="108"/>
      <c r="F87" s="109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8">
        <f t="shared" si="6"/>
        <v>0</v>
      </c>
      <c r="S87" s="138"/>
      <c r="U87" s="138"/>
      <c r="V87" s="138"/>
      <c r="W87" s="138"/>
    </row>
    <row r="88" ht="15.75" customHeight="1">
      <c r="A88" s="114">
        <f t="shared" si="1"/>
        <v>15</v>
      </c>
      <c r="B88" s="114">
        <f t="shared" si="2"/>
        <v>15</v>
      </c>
      <c r="C88" s="107"/>
      <c r="D88" s="115"/>
      <c r="E88" s="108"/>
      <c r="F88" s="109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8">
        <f t="shared" si="6"/>
        <v>0</v>
      </c>
      <c r="S88" s="138"/>
      <c r="U88" s="138"/>
      <c r="V88" s="138"/>
      <c r="W88" s="138"/>
    </row>
    <row r="89" ht="15.75" customHeight="1">
      <c r="A89" s="114">
        <f t="shared" si="1"/>
        <v>15</v>
      </c>
      <c r="B89" s="114">
        <f t="shared" si="2"/>
        <v>15</v>
      </c>
      <c r="C89" s="107"/>
      <c r="D89" s="115"/>
      <c r="E89" s="108"/>
      <c r="F89" s="109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8">
        <f t="shared" si="6"/>
        <v>0</v>
      </c>
      <c r="S89" s="138"/>
      <c r="U89" s="138"/>
      <c r="V89" s="138"/>
      <c r="W89" s="138"/>
    </row>
    <row r="90" ht="15.75" customHeight="1">
      <c r="A90" s="114">
        <f t="shared" si="1"/>
        <v>15</v>
      </c>
      <c r="B90" s="114">
        <f t="shared" si="2"/>
        <v>15</v>
      </c>
      <c r="C90" s="107"/>
      <c r="D90" s="115"/>
      <c r="E90" s="108"/>
      <c r="F90" s="109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8">
        <f t="shared" si="6"/>
        <v>0</v>
      </c>
      <c r="S90" s="138"/>
      <c r="U90" s="138"/>
      <c r="V90" s="138"/>
      <c r="W90" s="138"/>
    </row>
    <row r="91" ht="15.75" customHeight="1">
      <c r="A91" s="114">
        <f t="shared" si="1"/>
        <v>15</v>
      </c>
      <c r="B91" s="114">
        <f t="shared" si="2"/>
        <v>15</v>
      </c>
      <c r="C91" s="107"/>
      <c r="D91" s="115"/>
      <c r="E91" s="108"/>
      <c r="F91" s="109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8">
        <f t="shared" si="6"/>
        <v>0</v>
      </c>
      <c r="S91" s="138"/>
      <c r="U91" s="138"/>
      <c r="V91" s="138"/>
      <c r="W91" s="138"/>
    </row>
    <row r="92" ht="15.75" customHeight="1">
      <c r="A92" s="114">
        <f t="shared" si="1"/>
        <v>15</v>
      </c>
      <c r="B92" s="114">
        <f t="shared" si="2"/>
        <v>15</v>
      </c>
      <c r="C92" s="107"/>
      <c r="D92" s="115"/>
      <c r="E92" s="108"/>
      <c r="F92" s="109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8">
        <f t="shared" si="6"/>
        <v>0</v>
      </c>
      <c r="S92" s="138"/>
      <c r="U92" s="138"/>
      <c r="V92" s="138"/>
      <c r="W92" s="138"/>
    </row>
    <row r="93" ht="15.75" customHeight="1">
      <c r="A93" s="114">
        <f t="shared" si="1"/>
        <v>15</v>
      </c>
      <c r="B93" s="114">
        <f t="shared" si="2"/>
        <v>15</v>
      </c>
      <c r="C93" s="107"/>
      <c r="D93" s="115"/>
      <c r="E93" s="108"/>
      <c r="F93" s="109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8">
        <f t="shared" si="6"/>
        <v>0</v>
      </c>
      <c r="S93" s="138"/>
      <c r="T93" s="138"/>
      <c r="U93" s="138"/>
      <c r="V93" s="138"/>
      <c r="W93" s="138"/>
    </row>
    <row r="94" ht="15.75" customHeight="1">
      <c r="A94" s="114">
        <f t="shared" si="1"/>
        <v>15</v>
      </c>
      <c r="B94" s="114">
        <f t="shared" si="2"/>
        <v>15</v>
      </c>
      <c r="C94" s="107"/>
      <c r="D94" s="115"/>
      <c r="E94" s="108"/>
      <c r="F94" s="109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8">
        <f t="shared" si="6"/>
        <v>0</v>
      </c>
      <c r="S94" s="138"/>
      <c r="T94" s="138"/>
      <c r="U94" s="138"/>
      <c r="V94" s="138"/>
      <c r="W94" s="138"/>
    </row>
    <row r="95" ht="15.75" customHeight="1">
      <c r="A95" s="114">
        <f t="shared" si="1"/>
        <v>15</v>
      </c>
      <c r="B95" s="114">
        <f t="shared" si="2"/>
        <v>15</v>
      </c>
      <c r="C95" s="107"/>
      <c r="D95" s="115"/>
      <c r="E95" s="108"/>
      <c r="F95" s="109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8">
        <f t="shared" si="6"/>
        <v>0</v>
      </c>
      <c r="S95" s="138"/>
      <c r="T95" s="138"/>
      <c r="U95" s="138"/>
      <c r="V95" s="138"/>
      <c r="W95" s="138"/>
    </row>
    <row r="96" ht="15.75" customHeight="1">
      <c r="A96" s="114">
        <f t="shared" si="1"/>
        <v>15</v>
      </c>
      <c r="B96" s="114">
        <f t="shared" si="2"/>
        <v>15</v>
      </c>
      <c r="C96" s="107"/>
      <c r="D96" s="115"/>
      <c r="E96" s="108"/>
      <c r="F96" s="109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8">
        <f t="shared" si="6"/>
        <v>0</v>
      </c>
      <c r="S96" s="138"/>
      <c r="T96" s="138"/>
      <c r="U96" s="138"/>
      <c r="V96" s="138"/>
      <c r="W96" s="138"/>
    </row>
    <row r="97" ht="15.75" customHeight="1">
      <c r="A97" s="114">
        <f t="shared" si="1"/>
        <v>15</v>
      </c>
      <c r="B97" s="114">
        <f t="shared" si="2"/>
        <v>15</v>
      </c>
      <c r="C97" s="107"/>
      <c r="D97" s="115"/>
      <c r="E97" s="108"/>
      <c r="F97" s="109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8">
        <f t="shared" si="6"/>
        <v>0</v>
      </c>
      <c r="S97" s="138"/>
      <c r="T97" s="138"/>
      <c r="U97" s="138"/>
      <c r="V97" s="138"/>
      <c r="W97" s="138"/>
    </row>
    <row r="98" ht="15.75" customHeight="1">
      <c r="A98" s="166"/>
      <c r="B98" s="166"/>
      <c r="C98" s="101"/>
      <c r="D98" s="138"/>
      <c r="E98" s="163"/>
      <c r="F98" s="138" t="s">
        <v>357</v>
      </c>
      <c r="H98" s="138">
        <f t="shared" ref="H98:L98" si="10">SUM(IF(H3="A",1,0)+IF(H4="A",1,0)+IF(H5="A",1,0)+IF(H6="A",1,0)+IF(H7="A",1,0)+IF(H8="A",1,0)+IF(H9="A",1,0)+IF(H10="A",1,0)+IF(H11="A",1,0)+IF(H12="A",1,0)+IF(H13="A",1,0)+IF(H14="A",1,0)+IF(H15="A",1,0)+IF(H16="A",1,0)+IF(H17="A",1,0)+IF(H18="A",1,0)+IF(H19="A",1,0)+IF(H20="A",1,0)+IF(H21="A",1,0)+IF(H22="A",1,0)+IF(H23="A",1,0)+IF(H24="A",1,0)+IF(H25="A",1,0)+IF(H26="A",1,0)+IF(H27="A",1,0)+IF(H28="A",1,0)+IF(H29="A",1,0)+IF(H30="A",1,0)+IF(H31="A",1,0)+IF(H32="A",1,0)+IF(H33="A",1,0)+IF(H34="A",1,0)+IF(H35="A",1,0)+IF(H36="A",1,0)+IF(H37="A",1,0)+IF(H38="A",1,0)+IF(H39="A",1,0)+IF(H40="A",1,0)+IF(H41="A",1,0)+IF(H42="A",1,0)+IF(H43="A",1,0)+IF(H44="A",1,0)+IF(H45="A",1,0)+IF(H46="A",1,0)+IF(H47="A",1,0)+IF(H48="A",1,0)+IF(H49="A",1,0)+IF(H50="A",1,0)+IF(H51="A",1,0)+IF(H52="A",1,0)+IF(H53="A",1,0)+IF(H54="A",1,0)+IF(H55="A",1,0)+IF(H56="A",1,0)+IF(H57="A",1,0)+IF(H58="A",1,0)+IF(H59="A",1,0)+IF(H60="A",1,0)+IF(H61="A",1,0)+IF(H62="A",1,0)+IF(H63="A",1,0)+IF(H64="A",1,0)+IF(H65="A",1,0)+IF(H66="A",1,0)+IF(H67="A",1,0)+IF(H68="A",1,0)+IF(H69="A",1,0)+IF(H70="A",1,0)+IF(H71="A",1,0)+IF(H72="A",1,0)+IF(H73="A",1,0)+IF(H74="A",1,0)+IF(H75="A",1,0)+IF(H76="A",1,0)+IF(H77="A",1,0)+IF(H78="A",1,0)+IF(H79="A",1,0)+IF(H80="A",1,0)+IF(H81="A",1,0)+IF(H82="A",1,0)+IF(H82="A",1,0)+IF(H83="A",1,0)+IF(H84="A",1,0)+IF(H85="A",1,0)+IF(H86="A",1,0)+IF(H87="A",1,0)+IF(H88="A",1,0)+IF(H89="A",1,0)+IF(H90="A",1,0)+IF(H91="A",1,0)+IF(H92="A",1,0)+IF(H93="A",1,0)+IF(H94="A",1,0)+IF(H95="A",1,0)+IF(H96="A",1,0)+IF(H97="A",1,0))</f>
        <v>30</v>
      </c>
      <c r="I98" s="138">
        <f t="shared" si="10"/>
        <v>26</v>
      </c>
      <c r="J98" s="138">
        <f t="shared" si="10"/>
        <v>22</v>
      </c>
      <c r="K98" s="138">
        <f t="shared" si="10"/>
        <v>20</v>
      </c>
      <c r="L98" s="138">
        <f t="shared" si="10"/>
        <v>21</v>
      </c>
      <c r="M98" s="138">
        <f>SUM(IF(M3="A",1,0)+IF(M4="A",1,0)+IF(M5="A",1,0)+IF(M6="A",1,0)+IF(M7="A",1,0)+IF(M8="A",1,0)+IF(M9="A",1,0)+IF(M10="A",1,0)+IF(M11="A",1,0)+IF(M12="A",1,0)+IF(M13="A",1,0)+IF(M14="A",1,0)+IF(M15="A",1,0)+IF(M16="A",1,0)+IF(M17="A",1,0)+IF(N18="A",1,0)+IF(M19="A",1,0)+IF(M20="A",1,0)+IF(M21="A",1,0)+IF(M22="A",1,0)+IF(M23="A",1,0)+IF(M24="A",1,0)+IF(M25="A",1,0)+IF(M26="A",1,0)+IF(M27="A",1,0)+IF(M28="A",1,0)+IF(M29="A",1,0)+IF(M30="A",1,0)+IF(M31="A",1,0)+IF(M32="A",1,0)+IF(M33="A",1,0)+IF(M34="A",1,0)+IF(M35="A",1,0)+IF(M36="A",1,0)+IF(M37="A",1,0)+IF(M38="A",1,0)+IF(M39="A",1,0)+IF(M40="A",1,0)+IF(M41="A",1,0)+IF(M42="A",1,0)+IF(M43="A",1,0)+IF(M44="A",1,0)+IF(M45="A",1,0)+IF(M46="A",1,0)+IF(M47="A",1,0)+IF(M48="A",1,0)+IF(M49="A",1,0)+IF(M50="A",1,0)+IF(M51="A",1,0)+IF(M52="A",1,0)+IF(M53="A",1,0)+IF(M54="A",1,0)+IF(M55="A",1,0)+IF(M56="A",1,0)+IF(M57="A",1,0)+IF(M58="A",1,0)+IF(M59="A",1,0)+IF(M60="A",1,0)+IF(M61="A",1,0)+IF(M62="A",1,0)+IF(M63="A",1,0)+IF(M64="A",1,0)+IF(M65="A",1,0)+IF(M66="A",1,0)+IF(M67="A",1,0)+IF(M68="A",1,0)+IF(M69="A",1,0)+IF(M70="A",1,0)+IF(M71="A",1,0)+IF(M72="A",1,0)+IF(M73="A",1,0)+IF(M74="A",1,0)+IF(M75="A",1,0)+IF(M76="A",1,0)+IF(M77="A",1,0)+IF(M78="A",1,0)+IF(M79="A",1,0)+IF(M80="A",1,0)+IF(M81="A",1,0)+IF(M82="A",1,0)+IF(M82="A",1,0)+IF(M83="A",1,0)+IF(M84="A",1,0)+IF(M85="A",1,0)+IF(M86="A",1,0)+IF(M87="A",1,0)+IF(M88="A",1,0)+IF(M89="A",1,0)+IF(M90="A",1,0)+IF(M91="A",1,0)+IF(M92="A",1,0)+IF(M93="A",1,0)+IF(M94="A",1,0)+IF(M95="A",1,0)+IF(M96="A",1,0)+IF(M97="A",1,0))</f>
        <v>15</v>
      </c>
      <c r="N98" s="138" t="str">
        <f>SUM(IF(N3="A",1,0)+IF(N4="A",1,0)+IF(N5="A",1,0)+IF(N6="A",1,0)+IF(N7="A",1,0)+IF(N8="A",1,0)+IF(N9="A",1,0)+IF(N10="A",1,0)+IF(N11="A",1,0)+IF(N12="A",1,0)+IF(N13="A",1,0)+IF(N14="A",1,0)+IF(N15="A",1,0)+IF(N16="A",1,0)+IF(N17="A",1,0)+IF(#REF!="A",1,0)+IF(N19="A",1,0)+IF(N20="A",1,0)+IF(N21="A",1,0)+IF(N22="A",1,0)+IF(N23="A",1,0)+IF(N24="A",1,0)+IF(N25="A",1,0)+IF(N26="A",1,0)+IF(N27="A",1,0)+IF(N28="A",1,0)+IF(N29="A",1,0)+IF(N30="A",1,0)+IF(N31="A",1,0)+IF(N32="A",1,0)+IF(N33="A",1,0)+IF(N34="A",1,0)+IF(N35="A",1,0)+IF(N36="A",1,0)+IF(N37="A",1,0)+IF(N38="A",1,0)+IF(N39="A",1,0)+IF(N40="A",1,0)+IF(N41="A",1,0)+IF(N42="A",1,0)+IF(N43="A",1,0)+IF(N44="A",1,0)+IF(N45="A",1,0)+IF(N46="A",1,0)+IF(N47="A",1,0)+IF(N48="A",1,0)+IF(N49="A",1,0)+IF(N50="A",1,0)+IF(N51="A",1,0)+IF(N52="A",1,0)+IF(N53="A",1,0)+IF(N54="A",1,0)+IF(N55="A",1,0)+IF(N56="A",1,0)+IF(N57="A",1,0)+IF(N58="A",1,0)+IF(N59="A",1,0)+IF(N60="A",1,0)+IF(N61="A",1,0)+IF(N62="A",1,0)+IF(N63="A",1,0)+IF(N64="A",1,0)+IF(N65="A",1,0)+IF(N66="A",1,0)+IF(N67="A",1,0)+IF(N68="A",1,0)+IF(N69="A",1,0)+IF(N70="A",1,0)+IF(N71="A",1,0)+IF(N72="A",1,0)+IF(N73="A",1,0)+IF(N74="A",1,0)+IF(N75="A",1,0)+IF(N76="A",1,0)+IF(N77="A",1,0)+IF(N78="A",1,0)+IF(N79="A",1,0)+IF(N80="A",1,0)+IF(N81="A",1,0)+IF(N82="A",1,0)+IF(N82="A",1,0)+IF(N83="A",1,0)+IF(N84="A",1,0)+IF(N85="A",1,0)+IF(N86="A",1,0)+IF(N87="A",1,0)+IF(N88="A",1,0)+IF(N89="A",1,0)+IF(N90="A",1,0)+IF(N91="A",1,0)+IF(N92="A",1,0)+IF(N93="A",1,0)+IF(N94="A",1,0)+IF(N95="A",1,0)+IF(N96="A",1,0)+IF(N97="A",1,0))</f>
        <v>#REF!</v>
      </c>
      <c r="O98" s="138">
        <f t="shared" ref="O98:Q98" si="11">SUM(IF(O3="A",1,0)+IF(O4="A",1,0)+IF(O5="A",1,0)+IF(O6="A",1,0)+IF(O7="A",1,0)+IF(O8="A",1,0)+IF(O9="A",1,0)+IF(O10="A",1,0)+IF(O11="A",1,0)+IF(O12="A",1,0)+IF(O13="A",1,0)+IF(O14="A",1,0)+IF(O15="A",1,0)+IF(O16="A",1,0)+IF(O17="A",1,0)+IF(O18="A",1,0)+IF(O19="A",1,0)+IF(O20="A",1,0)+IF(O21="A",1,0)+IF(O22="A",1,0)+IF(O23="A",1,0)+IF(O24="A",1,0)+IF(O25="A",1,0)+IF(O26="A",1,0)+IF(O27="A",1,0)+IF(O28="A",1,0)+IF(O29="A",1,0)+IF(O30="A",1,0)+IF(O31="A",1,0)+IF(O32="A",1,0)+IF(O33="A",1,0)+IF(O34="A",1,0)+IF(O35="A",1,0)+IF(O36="A",1,0)+IF(O37="A",1,0)+IF(O38="A",1,0)+IF(O39="A",1,0)+IF(O40="A",1,0)+IF(O41="A",1,0)+IF(O42="A",1,0)+IF(O43="A",1,0)+IF(O44="A",1,0)+IF(O45="A",1,0)+IF(O46="A",1,0)+IF(O47="A",1,0)+IF(O48="A",1,0)+IF(O49="A",1,0)+IF(O50="A",1,0)+IF(O51="A",1,0)+IF(O52="A",1,0)+IF(O53="A",1,0)+IF(O54="A",1,0)+IF(O55="A",1,0)+IF(O56="A",1,0)+IF(O57="A",1,0)+IF(O58="A",1,0)+IF(O59="A",1,0)+IF(O60="A",1,0)+IF(O61="A",1,0)+IF(O62="A",1,0)+IF(O63="A",1,0)+IF(O64="A",1,0)+IF(O65="A",1,0)+IF(O66="A",1,0)+IF(O67="A",1,0)+IF(O68="A",1,0)+IF(O69="A",1,0)+IF(O70="A",1,0)+IF(O71="A",1,0)+IF(O72="A",1,0)+IF(O73="A",1,0)+IF(O74="A",1,0)+IF(O75="A",1,0)+IF(O76="A",1,0)+IF(O77="A",1,0)+IF(O78="A",1,0)+IF(O79="A",1,0)+IF(O80="A",1,0)+IF(O81="A",1,0)+IF(O82="A",1,0)+IF(O82="A",1,0)+IF(O83="A",1,0)+IF(O84="A",1,0)+IF(O85="A",1,0)+IF(O86="A",1,0)+IF(O87="A",1,0)+IF(O88="A",1,0)+IF(O89="A",1,0)+IF(O90="A",1,0)+IF(O91="A",1,0)+IF(O92="A",1,0)+IF(O93="A",1,0)+IF(O94="A",1,0)+IF(O95="A",1,0)+IF(O96="A",1,0)+IF(O97="A",1,0))</f>
        <v>6</v>
      </c>
      <c r="P98" s="138">
        <f t="shared" si="11"/>
        <v>4</v>
      </c>
      <c r="Q98" s="138">
        <f t="shared" si="11"/>
        <v>0</v>
      </c>
      <c r="R98" s="186"/>
      <c r="S98" s="138"/>
      <c r="T98" s="138"/>
      <c r="U98" s="138"/>
      <c r="V98" s="138"/>
      <c r="W98" s="138"/>
    </row>
    <row r="99" ht="15.75" customHeight="1">
      <c r="A99" s="166"/>
      <c r="B99" s="166"/>
      <c r="C99" s="101"/>
      <c r="D99" s="138"/>
      <c r="E99" s="163"/>
      <c r="F99" s="138" t="s">
        <v>361</v>
      </c>
      <c r="H99" s="138">
        <f>SUM(IF(H3="J",1,0)+IF(H4="J",1,0)+IF(H5="J",1,0)+IF(H6="J",1,0)+IF(H7="J",1,0)+IF(H8="J",1,0)+IF(H9="J",1,0)+IF(H10="J",1,0)+IF(H11="J",1,0)+IF(H12="J",1,0)+IF(H13="J",1,0)+IF(H14="J",1,0)+IF(H15="J",1,0)+IF(H16="J",1,0)+IF(H17="J",1,0)+IF(H18="J",1,0)+IF(H19="J",1,0)+IF(H20="J",1,0)+IF(H21="J",1,0)+IF(H22="J",1,0)+IF(H23="J",1,0)+IF(H24="J",1,0)+IF(H25="J",1,0)+IF(H26="J",1,0)+IF(H27="J",1,0)+IF(H28="J",1,0)+IF(H29="J",1,0)+IF(H30="J",1,0)+IF(H31="J",1,0)+IF(H32="J",1,0)+IF(H33="J",1,0)+IF(H34="J",1,0)+IF(H35="J",1,0)+IF(H36="J",1,0)+IF(H37="J",1,0)+IF(H38="J",1,0)+IF(H39="J",1,0)+IF(H40="J",1,0)+IF(H41="J",1,0)+IF(H42="J",1,0)+IF(H43="J",1,0)+IF(H44="J",1,0)+IF(H45="J",1,0)+IF(H46="J",1,0)+IF(H47="J",1,0)+IF(H48="J",1,0)+IF(H49="J",1,0)+IF(H50="J",1,0)+IF(H51="J",1,0)+IF(H52="J",1,0)+IF(H53="J",1,0)+IF(H54="J",1,0)+IF(H55="J",1,0)+IF(H56="J",1,0)+IF(H57="J",1,0)+IF(H58="J",1,0)+IF(H59="J",1,0)+IF(H60="J",1,0)+IF(H61="J",1,0)+IF(H62="J",1,0)+IF(H63="J",1,0)+IF(H64="J",1,0)+IF(H65="J",1,0)+IF(H66="J",1,0)+IF(H67="J",1,0)+IF(H68="J",1,0)+IF(H69="J",1,0)+IF(H70="J",1,0)+IF(H71="J",1,0)+IF(H72="J",1,0)+IF(H73="J",1,0)+IF(H74="J",1,0)+IF(H75="J",1,0)+IF(H76="J",1,0)+IF(H77="J",1,0)+IF(H78="J",1,0)+IF(H79="J",1,0)+IF(H80="J",1,0)+IF(H81="J",1,0)+IF(H82="J",1,0)+IF(H82="J",1,0)+IF(H83="J",1,0)+IF(H84="J",1,0)+IF(H85="J",1,0)+IF(H86="J",1,0)+IF(H87="J",1,0)+IF(H88="J",1,0)+IF(H89="J",1,0)+IF(H90="J",1,0)+IF(H91="J",1,0)+IF(H92="J",1,0)+IF(H93="J",1,0)+IF(H94="J",1,0)+IF(H95="J",1,0)+IF(H96="J",1,0)+IF(H97="J",1,0))</f>
        <v>10</v>
      </c>
      <c r="I99" s="138"/>
      <c r="J99" s="138"/>
      <c r="K99" s="138"/>
      <c r="L99" s="138"/>
      <c r="M99" s="138"/>
      <c r="N99" s="138"/>
      <c r="O99" s="138"/>
      <c r="P99" s="138"/>
      <c r="Q99" s="138"/>
      <c r="R99" s="186"/>
      <c r="S99" s="138"/>
      <c r="T99" s="138"/>
      <c r="U99" s="138"/>
      <c r="V99" s="138"/>
      <c r="W99" s="138"/>
    </row>
    <row r="100" ht="15.75" customHeight="1">
      <c r="A100" s="166"/>
      <c r="B100" s="166"/>
      <c r="C100" s="101"/>
      <c r="D100" s="138"/>
      <c r="E100" s="163"/>
      <c r="F100" s="138" t="s">
        <v>233</v>
      </c>
      <c r="H100" s="138">
        <f>SUM(IF(H3="J",1,0)+IF(H4="J",1,0)+IF(H5="J",1,0)+IF(H6="J",1,0)+IF(H7="J",1,0)+IF(H8="J",1,0)+IF(H9="J",1,0)+IF(H10="J",1,0)+IF(H11="J",1,0)+IF(H12="J",1,0)+IF(H13="J",1,0)+IF(H14="J",1,0)+IF(H15="J",1,0)+IF(H16="J",1,0)+IF(H17="J",1,0)+IF(H18="J",1,0)+IF(H19="J",1,0)+IF(H20="J",1,0)+IF(H21="J",1,0)+IF(H22="J",1,0)+IF(H23="J",1,0)+IF(H24="J",1,0)+IF(H25="J",1,0)+IF(H26="J",1,0)+IF(H27="J",1,0)+IF(H28="J",1,0)+IF(H29="J",1,0)+IF(H30="J",1,0)+IF(H31="J",1,0)+IF(H32="J",1,0)+IF(H33="J",1,0)+IF(H34="J",1,0)+IF(H35="J",1,0)+IF(H36="J",1,0)+IF(H37="J",1,0)+IF(H38="J",1,0)+IF(H39="J",1,0)+IF(H40="J",1,0)+IF(H41="J",1,0)+IF(H42="J",1,0)+IF(H43="J",1,0)+IF(H44="J",1,0)+IF(H45="J",1,0)+IF(H46="J",1,0)+IF(H47="J",1,0)+IF(H48="J",1,0)+IF(H49="J",1,0)+IF(H50="J",1,0)+IF(H51="J",1,0)+IF(H52="J",1,0)+IF(H53="J",1,0)+IF(H54="J",1,0)+IF(H55="J",1,0)+IF(H56="J",1,0)+IF(H57="J",1,0)+IF(H58="J",1,0)+IF(H59="J",1,0)+IF(H60="J",1,0)+IF(H61="J",1,0)+IF(H62="J",1,0)+IF(H63="J",1,0)+IF(H64="J",1,0)+IF(H65="J",1,0)+IF(H66="J",1,0)+IF(H67="J",1,0)+IF(H68="J",1,0)+IF(H69="J",1,0)+IF(H70="J",1,0)+IF(H71="J",1,0)+IF(H72="J",1,0)+IF(H73="J",1,0)+IF(H74="J",1,0)+IF(H75="J",1,0)+IF(H76="J",1,0)+IF(H77="J",1,0)+IF(H78="J",1,0)+IF(H79="J",1,0)+IF(H80="J",1,0)+IF(H81="J",1,0)+IF(H82="J",1,0)+IF(H82="J",1,0)+IF(H83="J",1,0)+IF(H84="J",1,0)+IF(H85="J",1,0)+IF(H86="J",1,0)+IF(H87="J",1,0)+IF(H88="J",1,0)+IF(H89="J",1,0)+IF(H90="J",1,0)+IF(H91="J",1,0)+IF(H92="J",1,0)+IF(H93="J",1,0)+IF(H94="J",1,0)+IF(H95="J",1,0)+IF(H96="J",1,0)+IF(H97="J",1,0))</f>
        <v>10</v>
      </c>
      <c r="I100" s="138"/>
      <c r="J100" s="138"/>
      <c r="K100" s="138"/>
      <c r="L100" s="138"/>
      <c r="M100" s="138"/>
      <c r="N100" s="138"/>
      <c r="O100" s="138"/>
      <c r="P100" s="138"/>
      <c r="Q100" s="138"/>
      <c r="R100" s="186"/>
      <c r="S100" s="138"/>
      <c r="T100" s="138"/>
      <c r="U100" s="138"/>
      <c r="V100" s="138"/>
      <c r="W100" s="13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Q$100"/>
  <mergeCells count="88"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S84:T84"/>
    <mergeCell ref="S92:T92"/>
    <mergeCell ref="F98:G98"/>
    <mergeCell ref="F99:G99"/>
    <mergeCell ref="F100:G100"/>
    <mergeCell ref="S85:T85"/>
    <mergeCell ref="S86:T86"/>
    <mergeCell ref="S87:T87"/>
    <mergeCell ref="S88:T88"/>
    <mergeCell ref="S89:T89"/>
    <mergeCell ref="S90:T90"/>
    <mergeCell ref="S91:T91"/>
    <mergeCell ref="C1:F1"/>
    <mergeCell ref="H1:Q1"/>
    <mergeCell ref="S11:T11"/>
    <mergeCell ref="V11:W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</mergeCells>
  <conditionalFormatting sqref="Q4:Q6">
    <cfRule type="containsText" dxfId="11" priority="1" operator="containsText" text="O">
      <formula>NOT(ISERROR(SEARCH(("O"),(Q4))))</formula>
    </cfRule>
  </conditionalFormatting>
  <conditionalFormatting sqref="H3:L100 M3:M17 N3:Q100 S3:S8 M19:M100">
    <cfRule type="containsText" dxfId="2" priority="2" operator="containsText" text="A">
      <formula>NOT(ISERROR(SEARCH(("A"),(H3))))</formula>
    </cfRule>
  </conditionalFormatting>
  <conditionalFormatting sqref="H3:L100 M3:M17 N3:Q100 S3:S8 M19:M100">
    <cfRule type="containsText" dxfId="3" priority="3" operator="containsText" text="F">
      <formula>NOT(ISERROR(SEARCH(("F"),(H3))))</formula>
    </cfRule>
  </conditionalFormatting>
  <conditionalFormatting sqref="H3:L100 M3:M17 N3:Q100 S3:S8 M19:M100">
    <cfRule type="containsText" dxfId="4" priority="4" operator="containsText" text="J">
      <formula>NOT(ISERROR(SEARCH(("J"),(H3))))</formula>
    </cfRule>
  </conditionalFormatting>
  <conditionalFormatting sqref="H3:L100 M3:M17 N3:Q100 S3:S8 M19:M100">
    <cfRule type="containsText" dxfId="5" priority="5" operator="containsText" text="R">
      <formula>NOT(ISERROR(SEARCH(("R"),(H3))))</formula>
    </cfRule>
  </conditionalFormatting>
  <conditionalFormatting sqref="H3:L100 M3:M17 N3:Q100 S3:S8 M19:M100">
    <cfRule type="containsText" dxfId="6" priority="6" operator="containsText" text="L">
      <formula>NOT(ISERROR(SEARCH(("L"),(H3))))</formula>
    </cfRule>
  </conditionalFormatting>
  <conditionalFormatting sqref="U13:U79">
    <cfRule type="expression" dxfId="7" priority="7">
      <formula>AND(ISNUMBER(U13),TRUNC(U13)&lt;TODAY())</formula>
    </cfRule>
  </conditionalFormatting>
  <conditionalFormatting sqref="U13:U79">
    <cfRule type="expression" dxfId="8" priority="8">
      <formula>AND(ISNUMBER(U13),TRUNC(U13)&gt;TODAY())</formula>
    </cfRule>
  </conditionalFormatting>
  <conditionalFormatting sqref="U13:U79">
    <cfRule type="timePeriod" dxfId="9" priority="9" timePeriod="today"/>
  </conditionalFormatting>
  <conditionalFormatting sqref="V13:W79">
    <cfRule type="containsText" dxfId="1" priority="10" operator="containsText" text="Si">
      <formula>NOT(ISERROR(SEARCH(("Si"),(V13))))</formula>
    </cfRule>
  </conditionalFormatting>
  <conditionalFormatting sqref="V13:W79">
    <cfRule type="containsText" dxfId="7" priority="11" operator="containsText" text="No">
      <formula>NOT(ISERROR(SEARCH(("No"),(V13))))</formula>
    </cfRule>
  </conditionalFormatting>
  <conditionalFormatting sqref="H3:L100 M3:M17 N3:Q100 S3:S8 M19:M100">
    <cfRule type="containsText" dxfId="10" priority="12" operator="containsText" text="T">
      <formula>NOT(ISERROR(SEARCH(("T"),(H3))))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0"/>
    <col customWidth="1" min="4" max="4" width="12.86"/>
    <col customWidth="1" min="5" max="5" width="14.0"/>
    <col customWidth="1" min="6" max="6" width="11.0"/>
    <col customWidth="1" min="7" max="16" width="6.43"/>
    <col customWidth="1" min="17" max="17" width="6.86"/>
    <col customWidth="1" min="18" max="19" width="12.29"/>
    <col customWidth="1" min="20" max="20" width="14.57"/>
    <col customWidth="1" min="21" max="21" width="8.29"/>
    <col customWidth="1" min="22" max="22" width="12.43"/>
    <col customWidth="1" min="23" max="26" width="8.71"/>
  </cols>
  <sheetData>
    <row r="1" ht="15.75" customHeight="1">
      <c r="A1" s="100" t="s">
        <v>0</v>
      </c>
      <c r="B1" s="101" t="s">
        <v>1</v>
      </c>
      <c r="C1" s="102" t="s">
        <v>2</v>
      </c>
      <c r="D1" s="4"/>
      <c r="E1" s="5"/>
      <c r="F1" s="100"/>
      <c r="G1" s="103" t="s">
        <v>314</v>
      </c>
      <c r="H1" s="7"/>
      <c r="I1" s="7"/>
      <c r="J1" s="7"/>
      <c r="K1" s="7"/>
      <c r="L1" s="7"/>
      <c r="M1" s="7"/>
      <c r="N1" s="7"/>
      <c r="O1" s="7"/>
      <c r="P1" s="8"/>
      <c r="Q1" s="104">
        <v>7.0</v>
      </c>
      <c r="R1" s="151" t="s">
        <v>296</v>
      </c>
      <c r="S1" s="105"/>
      <c r="T1" s="100" t="s">
        <v>275</v>
      </c>
      <c r="U1" s="105"/>
      <c r="V1" s="105"/>
    </row>
    <row r="2" ht="15.75" customHeight="1">
      <c r="A2" s="106"/>
      <c r="B2" s="107"/>
      <c r="C2" s="107" t="s">
        <v>8</v>
      </c>
      <c r="D2" s="106" t="s">
        <v>9</v>
      </c>
      <c r="E2" s="109" t="s">
        <v>14</v>
      </c>
      <c r="F2" s="106" t="s">
        <v>15</v>
      </c>
      <c r="G2" s="112">
        <v>43132.0</v>
      </c>
      <c r="H2" s="112">
        <v>43137.0</v>
      </c>
      <c r="I2" s="112">
        <v>43139.0</v>
      </c>
      <c r="J2" s="112">
        <v>43146.0</v>
      </c>
      <c r="K2" s="112">
        <v>43151.0</v>
      </c>
      <c r="L2" s="112">
        <v>43153.0</v>
      </c>
      <c r="M2" s="112">
        <v>43158.0</v>
      </c>
      <c r="N2" s="112"/>
      <c r="O2" s="112"/>
      <c r="P2" s="112"/>
      <c r="Q2" s="113" t="s">
        <v>16</v>
      </c>
      <c r="R2" s="105"/>
      <c r="S2" s="105"/>
      <c r="T2" s="100"/>
      <c r="V2" s="105"/>
    </row>
    <row r="3" ht="15.75" customHeight="1">
      <c r="A3" s="114">
        <f t="shared" ref="A3:A97" si="1">IF(E3="ALTM",1,IF(E3="1° P",2,IF(E3="1° P - 1°M",3,IF(E3="1° P - 2°M",4,IF(E3="2° P",5,IF(E3="2° P - 3°M",6,IF(E3="2° P - 4°M",7,IF(E3="1° PP",8,IF(E3="1° PP - 1°Pa",9,IF(E3="1° PP - 2°Pa",10,IF(E3="Espectro",11,IF(E3="Caballeria",12,IF(E3="FAZR",13,15)))))))))))))</f>
        <v>1</v>
      </c>
      <c r="B3" s="114">
        <f t="shared" ref="B3:B97" si="2">IF(C3="Cap.",1,IF(C3="Tte.",2,IF(C3="Alf.",3,IF(C3="SgtM.",4,IF(C3="Sgt1.",5,IF(C3="Sgt.",6,IF(C3="Cbo1.",7,IF(C3="Cbo.",8,IF(C3="Dis.",9,IF(C3="Inf.",10,IF(C3="Rct.",11,15)))))))))))</f>
        <v>2</v>
      </c>
      <c r="C3" s="107" t="s">
        <v>240</v>
      </c>
      <c r="D3" s="115" t="s">
        <v>18</v>
      </c>
      <c r="E3" s="117" t="s">
        <v>22</v>
      </c>
      <c r="F3" s="115" t="s">
        <v>23</v>
      </c>
      <c r="G3" s="115" t="s">
        <v>24</v>
      </c>
      <c r="H3" s="115" t="s">
        <v>24</v>
      </c>
      <c r="I3" s="115" t="s">
        <v>24</v>
      </c>
      <c r="J3" s="115" t="s">
        <v>24</v>
      </c>
      <c r="K3" s="115" t="s">
        <v>21</v>
      </c>
      <c r="L3" s="115" t="s">
        <v>21</v>
      </c>
      <c r="M3" s="115" t="s">
        <v>24</v>
      </c>
      <c r="N3" s="115"/>
      <c r="O3" s="115"/>
      <c r="P3" s="115"/>
      <c r="Q3" s="118">
        <f t="shared" ref="Q3:Q97" si="3">SUM(IF(G3="A",1,0)+IF(H3="A",+1,0)+IF(I3="A",+1,0)+IF(J3="A",+1,0)+IF(K3="A",+1,0)+IF(L3="A",+1,0)+IF(M3="A",+1,0)+IF(N3="A",+1,0)+IF(O3="A",+1,0)+IF(P3="A",+1,0))/$Q$1</f>
        <v>0.2857142857</v>
      </c>
      <c r="R3" s="115" t="s">
        <v>21</v>
      </c>
      <c r="S3" s="122" t="s">
        <v>317</v>
      </c>
      <c r="T3" s="152" t="s">
        <v>77</v>
      </c>
      <c r="U3" s="94">
        <f>SUM(0,IF(E2="1° P - 1°M",+1,0), IF(E3="1° P - 1°M",+1,0), IF(E4="1° P - 1°M",+1,0), IF(E5="1° P - 1°M",+1,0), IF(E6="1° P - 1°M",+1,0), IF(E7="1° P - 1°M",+1,0), IF(E8="1° P - 1°M",+1,0), IF(E9="1° P - 1°M",+1,0), IF(E10="1° P - 1°M",+1,0), IF(E11="1° P - 1°M",+1,0), IF(E12="1° P - 1°M",+1,0), IF(E13="1° P - 1°M",+1,0), IF(E14="1° P - 1°M",+1,0), IF(E15="1° P - 1°M",+1,0), IF(E16="1° P - 1°M",+1,0), IF(E17="1° P - 1°M",+1,0), IF(E18="1° P - 1°M",+1,0), IF(E19="1° P - 1°M",+1,0), IF(E20="1° P - 1°M",+1,0), IF(E21="1° P - 1°M",+1,0), IF(E22="1° P - 1°M",+1,0), IF(E23="1° P - 1°M",+1,0), IF(E24="1° P - 1°M",+1,0), IF(E25="1° P - 1°M",+1,0), IF(E26="1° P - 1°M",+1,0), IF(E27="1° P - 1°M",+1,0), IF(E28="1° P - 1°M",+1,0), IF(E29="1° P - 1°M",+1,0), IF(E30="1° P - 1°M",+1,0), IF(E31="1° P - 1°M",+1,0), IF(E32="1° P - 1°M",+1,0), IF(E33="1° P - 1°M",+1,0), IF(E34="1° P - 1°M",+1,0), IF(E35="1° P - 1°M",+1,0), IF(E36="1° P - 1°M",+1,0), IF(E37="1° P - 1°M",+1,0), IF(E38="1° P - 1°M",+1,0), IF(E39="1° P - 1°M",+1,0), IF(E40="1° P - 1°M",+1,0), IF(E41="1° P - 1°M",+1,0), IF(E42="1° P - 1°M",+1,0), IF(E43="1° P - 1°M",+1,0), IF(E44="1° P - 1°M",+1,0), IF(E45="1° P - 1°M",+1,0), IF(E46="1° P - 1°M",+1,0), IF(E47="1° P - 1°M",+1,0), IF(E48="1° P - 1°M",+1,0), IF(E49="1° P - 1°M",+1,0), IF(E50="1° P - 1°M",+1,0), IF(E51="1° P - 1°M",+1,0), IF(E52="1° P - 1°M",+1,0), IF(E53="1° P - 1°M",+1,0), IF(E54="1° P - 1°M",+1,0), IF(E55="1° P - 1°M",+1,0), IF(E56="1° P - 1°M",+1,0), IF(E57="1° P - 1°M",+1,0), IF(E58="1° P - 1°M",+1,0), IF(E59="1° P - 1°M",+1,0), IF(E60="1° P - 1°M",+1,0), IF(E61="1° P - 1°M",+1,0), IF(E62="1° P - 1°M",+1,0), IF(E63="1° P - 1°M",+1,0), IF(E64="1° P - 1°M",+1,0), IF(E65="1° P - 1°M",+1,0), IF(E66="1° P - 1°M",+1,0), IF(E67="1° P - 1°M",+1,0), IF(E68="1° P - 1°M",+1,0), IF(E69="1° P - 1°M",+1,0), IF(E70="1° P - 1°M",+1,0), IF(E71="1° P - 1°M",+1,0), IF(E72="1° P - 1°M",+1,0), IF(E73="1° P - 1°M",+1,0), IF(E74="1° P - 1°M",+1,0), IF(E75="1° P - 1°M",+1,0), IF(E76="1° P - 1°M",+1,0), IF(E77="1° P - 1°M",+1,0), IF(E78="1° P - 1°M",+1,0), IF(E79="1° P - 1°M",+1,0), IF(E80="1° P - 1°M",+1,0), IF(E81="1° P - 1°M",+1,0), IF(E82="1° P - 1°M",+1,0), IF(E83="1° P - 1°M",+1,0), IF(E84="1° P - 1°M",+1,0), IF(E85="1° P - 1°M",+1,0), IF(E86="1° P - 1°M",+1,0), IF(E87="1° P - 1°M",+1,0), IF(E88="1° P - 1°M",+1,0), IF(E89="1° P - 1°M",+1,0), IF(E90="1° P - 1°M",+1,0), IF(E91="1° P - 1°M",+1,0), IF(E92="1° P - 1°M",+1,0), IF(E93="1° P - 1°M",+1,0), IF(E94="1° P - 1°M",+1,0), IF(E95="1° P - 1°M",+1,0), IF(E96="1° P - 1°M",+1,0), IF(E97="1° P - 1°M",+1,0), IF(E98="1° P - 1°M",+1,0), IF(E99="1° P - 1°M",+1,0), IF(E100="1° P - 1°M",+1,0))</f>
        <v>10</v>
      </c>
    </row>
    <row r="4" ht="15.75" customHeight="1">
      <c r="A4" s="114">
        <f t="shared" si="1"/>
        <v>1</v>
      </c>
      <c r="B4" s="114">
        <f t="shared" si="2"/>
        <v>1</v>
      </c>
      <c r="C4" s="107" t="s">
        <v>17</v>
      </c>
      <c r="D4" s="138" t="s">
        <v>35</v>
      </c>
      <c r="E4" s="117" t="s">
        <v>22</v>
      </c>
      <c r="F4" s="121" t="s">
        <v>101</v>
      </c>
      <c r="G4" s="115" t="s">
        <v>30</v>
      </c>
      <c r="H4" s="115" t="s">
        <v>30</v>
      </c>
      <c r="I4" s="115" t="s">
        <v>30</v>
      </c>
      <c r="J4" s="115" t="s">
        <v>30</v>
      </c>
      <c r="K4" s="115" t="s">
        <v>30</v>
      </c>
      <c r="L4" s="115" t="s">
        <v>30</v>
      </c>
      <c r="M4" s="115" t="s">
        <v>30</v>
      </c>
      <c r="N4" s="115"/>
      <c r="O4" s="115"/>
      <c r="P4" s="115"/>
      <c r="Q4" s="118">
        <f t="shared" si="3"/>
        <v>0</v>
      </c>
      <c r="R4" s="115" t="s">
        <v>33</v>
      </c>
      <c r="S4" s="122" t="s">
        <v>324</v>
      </c>
      <c r="T4" s="152" t="s">
        <v>81</v>
      </c>
      <c r="U4" s="94">
        <f>SUM(0,IF(E3="1° P - 2°M",+1,0), IF(E4="1° P - 2°M",+1,0), IF(E5="1° P - 2°M",+1,0), IF(E6="1° P - 2°M",+1,0), IF(E7="1° P - 2°M",+1,0), IF(E8="1° P - 2°M",+1,0), IF(E9="1° P - 2°M",+1,0), IF(E10="1° P - 2°M",+1,0), IF(E11="1° P - 2°M",+1,0), IF(E12="1° P - 2°M",+1,0), IF(E13="1° P - 2°M",+1,0), IF(E14="1° P - 2°M",+1,0), IF(E15="1° P - 2°M",+1,0), IF(E16="1° P - 2°M",+1,0), IF(E17="1° P - 2°M",+1,0), IF(E18="1° P - 2°M",+1,0), IF(E19="1° P - 2°M",+1,0), IF(E20="1° P - 2°M",+1,0), IF(E21="1° P - 2°M",+1,0), IF(E22="1° P - 2°M",+1,0), IF(E23="1° P - 2°M",+1,0), IF(E24="1° P - 2°M",+1,0), IF(E25="1° P - 2°M",+1,0), IF(E26="1° P - 2°M",+1,0), IF(E27="1° P - 2°M",+1,0), IF(E28="1° P - 2°M",+1,0), IF(E29="1° P - 2°M",+1,0), IF(E30="1° P - 2°M",+1,0), IF(E31="1° P - 2°M",+1,0), IF(E32="1° P - 2°M",+1,0), IF(E33="1° P - 2°M",+1,0), IF(E34="1° P - 2°M",+1,0), IF(E35="1° P - 2°M",+1,0), IF(E36="1° P - 2°M",+1,0), IF(E37="1° P - 2°M",+1,0), IF(E38="1° P - 2°M",+1,0), IF(E39="1° P - 2°M",+1,0), IF(E40="1° P - 2°M",+1,0), IF(E41="1° P - 2°M",+1,0), IF(E42="1° P - 2°M",+1,0), IF(E43="1° P - 2°M",+1,0), IF(E44="1° P - 2°M",+1,0), IF(E45="1° P - 2°M",+1,0), IF(E46="1° P - 2°M",+1,0), IF(E47="1° P - 2°M",+1,0), IF(E48="1° P - 2°M",+1,0), IF(E49="1° P - 2°M",+1,0), IF(E50="1° P - 2°M",+1,0), IF(E51="1° P - 2°M",+1,0), IF(E52="1° P - 2°M",+1,0), IF(E53="1° P - 2°M",+1,0), IF(E54="1° P - 2°M",+1,0), IF(E55="1° P - 2°M",+1,0), IF(E56="1° P - 2°M",+1,0), IF(E57="1° P - 2°M",+1,0), IF(E58="1° P - 2°M",+1,0), IF(E59="1° P - 2°M",+1,0), IF(E60="1° P - 2°M",+1,0), IF(E61="1° P - 2°M",+1,0), IF(E62="1° P - 2°M",+1,0), IF(E63="1° P - 2°M",+1,0), IF(E64="1° P - 2°M",+1,0), IF(E65="1° P - 2°M",+1,0), IF(E66="1° P - 2°M",+1,0), IF(E67="1° P - 2°M",+1,0), IF(E68="1° P - 2°M",+1,0), IF(E69="1° P - 2°M",+1,0), IF(E70="1° P - 2°M",+1,0), IF(E71="1° P - 2°M",+1,0), IF(E72="1° P - 2°M",+1,0), IF(E73="1° P - 2°M",+1,0), IF(E74="1° P - 2°M",+1,0), IF(E75="1° P - 2°M",+1,0), IF(E76="1° P - 2°M",+1,0), IF(E77="1° P - 2°M",+1,0), IF(E78="1° P - 2°M",+1,0), IF(E79="1° P - 2°M",+1,0), IF(E80="1° P - 2°M",+1,0), IF(E81="1° P - 2°M",+1,0), IF(E82="1° P - 2°M",+1,0), IF(E83="1° P - 2°M",+1,0), IF(E84="1° P - 2°M",+1,0), IF(E85="1° P - 2°M",+1,0), IF(E86="1° P - 2°M",+1,0), IF(E87="1° P - 2°M",+1,0), IF(E88="1° P - 2°M",+1,0), IF(E89="1° P - 2°M",+1,0), IF(E90="1° P - 2°M",+1,0), IF(E91="1° P - 2°M",+1,0), IF(E92="1° P - 2°M",+1,0), IF(E93="1° P - 2°M",+1,0), IF(E94="1° P - 2°M",+1,0), IF(E95="1° P - 2°M",+1,0), IF(E96="1° P - 2°M",+1,0), IF(E97="1° P - 2°M",+1,0), IF(E98="1° P - 2°M",+1,0), IF(E99="1° P - 2°M",+1,0), IF(E100="1° P - 2°M",+1,0), IF(E101="1° P - 2°M",+1,0))</f>
        <v>6</v>
      </c>
    </row>
    <row r="5" ht="15.75" customHeight="1">
      <c r="A5" s="114">
        <f t="shared" si="1"/>
        <v>1</v>
      </c>
      <c r="B5" s="114">
        <f t="shared" si="2"/>
        <v>1</v>
      </c>
      <c r="C5" s="107" t="s">
        <v>17</v>
      </c>
      <c r="D5" s="115" t="s">
        <v>32</v>
      </c>
      <c r="E5" s="117" t="s">
        <v>22</v>
      </c>
      <c r="F5" s="123" t="s">
        <v>101</v>
      </c>
      <c r="G5" s="115" t="s">
        <v>30</v>
      </c>
      <c r="H5" s="115" t="s">
        <v>30</v>
      </c>
      <c r="I5" s="115" t="s">
        <v>30</v>
      </c>
      <c r="J5" s="115" t="s">
        <v>30</v>
      </c>
      <c r="K5" s="115" t="s">
        <v>30</v>
      </c>
      <c r="L5" s="115" t="s">
        <v>30</v>
      </c>
      <c r="M5" s="115" t="s">
        <v>30</v>
      </c>
      <c r="N5" s="115"/>
      <c r="O5" s="115"/>
      <c r="P5" s="115"/>
      <c r="Q5" s="118">
        <f t="shared" si="3"/>
        <v>0</v>
      </c>
      <c r="R5" s="115" t="s">
        <v>24</v>
      </c>
      <c r="S5" s="122" t="s">
        <v>329</v>
      </c>
      <c r="T5" s="152" t="s">
        <v>300</v>
      </c>
      <c r="U5" s="94">
        <f>SUM(0,IF(E4="2° P - 3°M",+1,0), IF(E5="2° P - 3°M",+1,0), IF(E6="2° P - 3°M",+1,0), IF(E7="2° P - 3°M",+1,0), IF(E8="2° P - 3°M",+1,0), IF(E9="2° P - 3°M",+1,0), IF(E10="2° P - 3°M",+1,0), IF(E11="2° P - 3°M",+1,0), IF(E12="2° P - 3°M",+1,0), IF(E13="2° P - 3°M",+1,0), IF(E14="2° P - 3°M",+1,0), IF(E15="2° P - 3°M",+1,0), IF(E16="2° P - 3°M",+1,0), IF(E17="2° P - 3°M",+1,0), IF(E18="2° P - 3°M",+1,0), IF(E19="2° P - 3°M",+1,0), IF(E20="2° P - 3°M",+1,0), IF(E21="2° P - 3°M",+1,0), IF(E22="2° P - 3°M",+1,0), IF(E23="2° P - 3°M",+1,0), IF(E24="2° P - 3°M",+1,0), IF(E25="2° P - 3°M",+1,0), IF(E26="2° P - 3°M",+1,0), IF(E27="2° P - 3°M",+1,0), IF(E28="2° P - 3°M",+1,0), IF(E29="2° P - 3°M",+1,0), IF(E30="2° P - 3°M",+1,0), IF(E31="2° P - 3°M",+1,0), IF(E32="2° P - 3°M",+1,0), IF(E33="2° P - 3°M",+1,0), IF(E34="2° P - 3°M",+1,0), IF(E35="2° P - 3°M",+1,0), IF(E36="2° P - 3°M",+1,0), IF(E37="2° P - 3°M",+1,0), IF(E38="2° P - 3°M",+1,0), IF(E39="2° P - 3°M",+1,0), IF(E40="2° P - 3°M",+1,0), IF(E41="2° P - 3°M",+1,0), IF(E42="2° P - 3°M",+1,0), IF(E43="2° P - 3°M",+1,0), IF(E44="2° P - 3°M",+1,0), IF(E45="2° P - 3°M",+1,0), IF(E46="2° P - 3°M",+1,0), IF(E47="2° P - 3°M",+1,0), IF(E48="2° P - 3°M",+1,0), IF(E49="2° P - 3°M",+1,0), IF(E50="2° P - 3°M",+1,0), IF(E51="2° P - 3°M",+1,0), IF(E52="2° P - 3°M",+1,0), IF(E53="2° P - 3°M",+1,0), IF(E54="2° P - 3°M",+1,0), IF(E55="2° P - 3°M",+1,0), IF(E56="2° P - 3°M",+1,0), IF(E57="2° P - 3°M",+1,0), IF(E58="2° P - 3°M",+1,0), IF(E59="2° P - 3°M",+1,0), IF(E60="2° P - 3°M",+1,0), IF(E61="2° P - 3°M",+1,0), IF(E62="2° P - 3°M",+1,0), IF(E63="2° P - 3°M",+1,0), IF(E64="2° P - 3°M",+1,0), IF(E65="2° P - 3°M",+1,0), IF(E66="2° P - 3°M",+1,0), IF(E67="2° P - 3°M",+1,0), IF(E68="2° P - 3°M",+1,0), IF(E69="2° P - 3°M",+1,0), IF(E70="2° P - 3°M",+1,0), IF(E71="2° P - 3°M",+1,0), IF(E72="2° P - 3°M",+1,0), IF(E73="2° P - 3°M",+1,0), IF(E74="2° P - 3°M",+1,0), IF(E75="2° P - 3°M",+1,0), IF(E76="2° P - 3°M",+1,0), IF(E77="2° P - 3°M",+1,0), IF(E78="2° P - 3°M",+1,0), IF(E79="2° P - 3°M",+1,0), IF(E80="2° P - 3°M",+1,0), IF(E81="2° P - 3°M",+1,0), IF(E82="2° P - 3°M",+1,0), IF(E83="2° P - 3°M",+1,0), IF(E84="2° P - 3°M",+1,0), IF(E85="2° P - 3°M",+1,0), IF(E86="2° P - 3°M",+1,0), IF(E87="2° P - 3°M",+1,0), IF(E88="2° P - 3°M",+1,0), IF(E89="2° P - 3°M",+1,0), IF(E90="2° P - 3°M",+1,0), IF(E91="2° P - 3°M",+1,0), IF(E92="2° P - 3°M",+1,0), IF(E93="2° P - 3°M",+1,0), IF(E94="2° P - 3°M",+1,0), IF(E95="2° P - 3°M",+1,0), IF(E96="2° P - 3°M",+1,0), IF(E97="2° P - 3°M",+1,0), IF(E98="2° P - 3°M",+1,0), IF(E99="2° P - 3°M",+1,0), IF(E100="2° P - 3°M",+1,0), IF(E101="2° P - 3°M",+1,0), IF(E102="2° P - 3°M",+1,0))</f>
        <v>6</v>
      </c>
    </row>
    <row r="6" ht="15.75" customHeight="1">
      <c r="A6" s="114">
        <f t="shared" si="1"/>
        <v>1</v>
      </c>
      <c r="B6" s="114">
        <f t="shared" si="2"/>
        <v>3</v>
      </c>
      <c r="C6" s="107" t="s">
        <v>26</v>
      </c>
      <c r="D6" s="115" t="s">
        <v>27</v>
      </c>
      <c r="E6" s="109" t="s">
        <v>22</v>
      </c>
      <c r="F6" s="115" t="s">
        <v>101</v>
      </c>
      <c r="G6" s="115" t="s">
        <v>21</v>
      </c>
      <c r="H6" s="115" t="s">
        <v>30</v>
      </c>
      <c r="I6" s="115" t="s">
        <v>30</v>
      </c>
      <c r="J6" s="115" t="s">
        <v>30</v>
      </c>
      <c r="K6" s="115" t="s">
        <v>30</v>
      </c>
      <c r="L6" s="115" t="s">
        <v>30</v>
      </c>
      <c r="M6" s="115" t="s">
        <v>30</v>
      </c>
      <c r="N6" s="115"/>
      <c r="O6" s="115"/>
      <c r="P6" s="115"/>
      <c r="Q6" s="118">
        <f t="shared" si="3"/>
        <v>0.1428571429</v>
      </c>
      <c r="R6" s="115" t="s">
        <v>37</v>
      </c>
      <c r="S6" s="122" t="s">
        <v>38</v>
      </c>
      <c r="T6" s="152" t="s">
        <v>301</v>
      </c>
      <c r="U6" s="94">
        <f>SUM(0,IF(E5="2° P - 4°M",+1,0), IF(E6="2° P - 4°M",+1,0), IF(E7="2° P - 4°M",+1,0), IF(E8="2° P - 4°M",+1,0), IF(E9="2° P - 4°M",+1,0), IF(E10="2° P - 4°M",+1,0), IF(E11="2° P - 4°M",+1,0), IF(E12="2° P - 4°M",+1,0), IF(E13="2° P - 4°M",+1,0), IF(E14="2° P - 4°M",+1,0), IF(E15="2° P - 4°M",+1,0), IF(E16="2° P - 4°M",+1,0), IF(E17="2° P - 4°M",+1,0), IF(E18="2° P - 4°M",+1,0), IF(E19="2° P - 4°M",+1,0), IF(E20="2° P - 4°M",+1,0), IF(E21="2° P - 4°M",+1,0), IF(E22="2° P - 4°M",+1,0), IF(E23="2° P - 4°M",+1,0), IF(E24="2° P - 4°M",+1,0), IF(E25="2° P - 4°M",+1,0), IF(E26="2° P - 4°M",+1,0), IF(E27="2° P - 4°M",+1,0), IF(E28="2° P - 4°M",+1,0), IF(E29="2° P - 4°M",+1,0), IF(E30="2° P - 4°M",+1,0), IF(E31="2° P - 4°M",+1,0), IF(E32="2° P - 4°M",+1,0), IF(E33="2° P - 4°M",+1,0), IF(E34="2° P - 4°M",+1,0), IF(E35="2° P - 4°M",+1,0), IF(E36="2° P - 4°M",+1,0), IF(E37="2° P - 4°M",+1,0), IF(E38="2° P - 4°M",+1,0), IF(E39="2° P - 4°M",+1,0), IF(E40="2° P - 4°M",+1,0), IF(E41="2° P - 4°M",+1,0), IF(E42="2° P - 4°M",+1,0), IF(E43="2° P - 4°M",+1,0), IF(E44="2° P - 4°M",+1,0), IF(E45="2° P - 4°M",+1,0), IF(E46="2° P - 4°M",+1,0), IF(E47="2° P - 4°M",+1,0), IF(E48="2° P - 4°M",+1,0), IF(E49="2° P - 4°M",+1,0), IF(E50="2° P - 4°M",+1,0), IF(E51="2° P - 4°M",+1,0), IF(E52="2° P - 4°M",+1,0), IF(E53="2° P - 4°M",+1,0), IF(E54="2° P - 4°M",+1,0), IF(E55="2° P - 4°M",+1,0), IF(E56="2° P - 4°M",+1,0), IF(E57="2° P - 4°M",+1,0), IF(E58="2° P - 4°M",+1,0), IF(E59="2° P - 4°M",+1,0), IF(E60="2° P - 4°M",+1,0), IF(E61="2° P - 4°M",+1,0), IF(E62="2° P - 4°M",+1,0), IF(E63="2° P - 4°M",+1,0), IF(E64="2° P - 4°M",+1,0), IF(E65="2° P - 4°M",+1,0), IF(E66="2° P - 4°M",+1,0), IF(E67="2° P - 4°M",+1,0), IF(E68="2° P - 4°M",+1,0), IF(E69="2° P - 4°M",+1,0), IF(E70="2° P - 4°M",+1,0), IF(E71="2° P - 4°M",+1,0), IF(E72="2° P - 4°M",+1,0), IF(E73="2° P - 4°M",+1,0), IF(E74="2° P - 4°M",+1,0), IF(E75="2° P - 4°M",+1,0), IF(E76="2° P - 4°M",+1,0), IF(E77="2° P - 4°M",+1,0), IF(E78="2° P - 4°M",+1,0), IF(E79="2° P - 4°M",+1,0), IF(E80="2° P - 4°M",+1,0), IF(E81="2° P - 4°M",+1,0), IF(E82="2° P - 4°M",+1,0), IF(E83="2° P - 4°M",+1,0), IF(E84="2° P - 4°M",+1,0), IF(E85="2° P - 4°M",+1,0), IF(E86="2° P - 4°M",+1,0), IF(E87="2° P - 4°M",+1,0), IF(E88="2° P - 4°M",+1,0), IF(E89="2° P - 4°M",+1,0), IF(E90="2° P - 4°M",+1,0), IF(E91="2° P - 4°M",+1,0), IF(E92="2° P - 4°M",+1,0), IF(E93="2° P - 4°M",+1,0), IF(E94="2° P - 4°M",+1,0), IF(E95="2° P - 4°M",+1,0), IF(E96="2° P - 4°M",+1,0), IF(E97="2° P - 4°M",+1,0), IF(E98="2° P - 4°M",+1,0), IF(E99="2° P - 4°M",+1,0), IF(E100="2° P - 4°M",+1,0), IF(E101="2° P - 4°M",+1,0), IF(E102="2° P - 4°M",+1,0), IF(E103="2° P - 4°M",+1,0))</f>
        <v>8</v>
      </c>
    </row>
    <row r="7" ht="15.75" customHeight="1">
      <c r="A7" s="114">
        <f t="shared" si="1"/>
        <v>2</v>
      </c>
      <c r="B7" s="114">
        <f t="shared" si="2"/>
        <v>6</v>
      </c>
      <c r="C7" s="107" t="s">
        <v>113</v>
      </c>
      <c r="D7" s="115" t="s">
        <v>40</v>
      </c>
      <c r="E7" s="109" t="s">
        <v>42</v>
      </c>
      <c r="F7" s="115" t="s">
        <v>43</v>
      </c>
      <c r="G7" s="115" t="s">
        <v>21</v>
      </c>
      <c r="H7" s="115" t="s">
        <v>24</v>
      </c>
      <c r="I7" s="115" t="s">
        <v>21</v>
      </c>
      <c r="J7" s="115" t="s">
        <v>21</v>
      </c>
      <c r="K7" s="115" t="s">
        <v>21</v>
      </c>
      <c r="L7" s="115" t="s">
        <v>24</v>
      </c>
      <c r="M7" s="115" t="s">
        <v>21</v>
      </c>
      <c r="N7" s="115"/>
      <c r="O7" s="115"/>
      <c r="P7" s="115"/>
      <c r="Q7" s="118">
        <f t="shared" si="3"/>
        <v>0.7142857143</v>
      </c>
      <c r="R7" s="115" t="s">
        <v>30</v>
      </c>
      <c r="S7" s="122" t="s">
        <v>101</v>
      </c>
      <c r="T7" s="152" t="s">
        <v>86</v>
      </c>
      <c r="U7" s="94">
        <f>SUM(0,IF(E6="1° PP - 1°Pa",+1,0), IF(E7="1° PP - 1°Pa",+1,0), IF(E8="1° PP - 1°Pa",+1,0), IF(E9="1° PP - 1°Pa",+1,0), IF(E10="1° PP - 1°Pa",+1,0), IF(E11="1° PP - 1°Pa",+1,0), IF(E12="1° PP - 1°Pa",+1,0), IF(E13="1° PP - 1°Pa",+1,0), IF(E14="1° PP - 1°Pa",+1,0), IF(E15="1° PP - 1°Pa",+1,0), IF(E16="1° PP - 1°Pa",+1,0), IF(E17="1° PP - 1°Pa",+1,0), IF(E18="1° PP - 1°Pa",+1,0), IF(E19="1° PP - 1°Pa",+1,0), IF(E20="1° PP - 1°Pa",+1,0), IF(E21="1° PP - 1°Pa",+1,0), IF(E22="1° PP - 1°Pa",+1,0), IF(E23="1° PP - 1°Pa",+1,0), IF(E24="1° PP - 1°Pa",+1,0), IF(E25="1° PP - 1°Pa",+1,0), IF(E26="1° PP - 1°Pa",+1,0), IF(E27="1° PP - 1°Pa",+1,0), IF(E28="1° PP - 1°Pa",+1,0), IF(E29="1° PP - 1°Pa",+1,0), IF(E30="1° PP - 1°Pa",+1,0), IF(E31="1° PP - 1°Pa",+1,0), IF(E32="1° PP - 1°Pa",+1,0), IF(E33="1° PP - 1°Pa",+1,0), IF(E34="1° PP - 1°Pa",+1,0), IF(E35="1° PP - 1°Pa",+1,0), IF(E36="1° PP - 1°Pa",+1,0), IF(E37="1° PP - 1°Pa",+1,0), IF(E38="1° PP - 1°Pa",+1,0), IF(E39="1° PP - 1°Pa",+1,0), IF(E40="1° PP - 1°Pa",+1,0), IF(E41="1° PP - 1°Pa",+1,0), IF(E42="1° PP - 1°Pa",+1,0), IF(E43="1° PP - 1°Pa",+1,0), IF(E44="1° PP - 1°Pa",+1,0), IF(E45="1° PP - 1°Pa",+1,0), IF(E46="1° PP - 1°Pa",+1,0), IF(E47="1° PP - 1°Pa",+1,0), IF(E48="1° PP - 1°Pa",+1,0), IF(E49="1° PP - 1°Pa",+1,0), IF(E50="1° PP - 1°Pa",+1,0), IF(E51="1° PP - 1°Pa",+1,0), IF(E52="1° PP - 1°Pa",+1,0), IF(E53="1° PP - 1°Pa",+1,0), IF(E54="1° PP - 1°Pa",+1,0), IF(E55="1° PP - 1°Pa",+1,0), IF(E56="1° PP - 1°Pa",+1,0), IF(E57="1° PP - 1°Pa",+1,0), IF(E58="1° PP - 1°Pa",+1,0), IF(E59="1° PP - 1°Pa",+1,0), IF(E60="1° PP - 1°Pa",+1,0), IF(E61="1° PP - 1°Pa",+1,0), IF(E62="1° PP - 1°Pa",+1,0), IF(E63="1° PP - 1°Pa",+1,0), IF(E64="1° PP - 1°Pa",+1,0), IF(E65="1° PP - 1°Pa",+1,0), IF(E66="1° PP - 1°Pa",+1,0), IF(E67="1° PP - 1°Pa",+1,0), IF(E68="1° PP - 1°Pa",+1,0), IF(E69="1° PP - 1°Pa",+1,0), IF(E70="1° PP - 1°Pa",+1,0), IF(E71="1° PP - 1°Pa",+1,0), IF(E72="1° PP - 1°Pa",+1,0), IF(E73="1° PP - 1°Pa",+1,0), IF(E74="1° PP - 1°Pa",+1,0), IF(E75="1° PP - 1°Pa",+1,0), IF(E76="1° PP - 1°Pa",+1,0), IF(E77="1° PP - 1°Pa",+1,0), IF(E78="1° PP - 1°Pa",+1,0), IF(E79="1° PP - 1°Pa",+1,0), IF(E80="1° PP - 1°Pa",+1,0), IF(E81="1° PP - 1°Pa",+1,0), IF(E82="1° PP - 1°Pa",+1,0), IF(E83="1° PP - 1°Pa",+1,0), IF(E84="1° PP - 1°Pa",+1,0), IF(E85="1° PP - 1°Pa",+1,0), IF(E86="1° PP - 1°Pa",+1,0), IF(E87="1° PP - 1°Pa",+1,0), IF(E88="1° PP - 1°Pa",+1,0), IF(E89="1° PP - 1°Pa",+1,0), IF(E90="1° PP - 1°Pa",+1,0), IF(E91="1° PP - 1°Pa",+1,0), IF(E92="1° PP - 1°Pa",+1,0), IF(E93="1° PP - 1°Pa",+1,0), IF(E94="1° PP - 1°Pa",+1,0), IF(E95="1° PP - 1°Pa",+1,0), IF(E96="1° PP - 1°Pa",+1,0), IF(E97="1° PP - 1°Pa",+1,0), IF(E98="1° PP - 1°Pa",+1,0), IF(E99="1° PP - 1°Pa",+1,0), IF(E100="1° PP - 1°Pa",+1,0), IF(E101="1° PP - 1°Pa",+1,0), IF(E102="1° PP - 1°Pa",+1,0), IF(E103="1° PP - 1°Pa",+1,0), IF(E104="1° PP - 1°Pa",+1,0))</f>
        <v>6</v>
      </c>
    </row>
    <row r="8" ht="15.75" customHeight="1">
      <c r="A8" s="114">
        <f t="shared" si="1"/>
        <v>3</v>
      </c>
      <c r="B8" s="114">
        <f t="shared" si="2"/>
        <v>8</v>
      </c>
      <c r="C8" s="107" t="s">
        <v>54</v>
      </c>
      <c r="D8" s="115" t="s">
        <v>103</v>
      </c>
      <c r="E8" s="109" t="s">
        <v>50</v>
      </c>
      <c r="F8" s="115" t="s">
        <v>51</v>
      </c>
      <c r="G8" s="115" t="s">
        <v>21</v>
      </c>
      <c r="H8" s="115" t="s">
        <v>21</v>
      </c>
      <c r="I8" s="115" t="s">
        <v>21</v>
      </c>
      <c r="J8" s="115" t="s">
        <v>21</v>
      </c>
      <c r="K8" s="115" t="s">
        <v>21</v>
      </c>
      <c r="L8" s="115" t="s">
        <v>21</v>
      </c>
      <c r="M8" s="115" t="s">
        <v>21</v>
      </c>
      <c r="N8" s="115"/>
      <c r="O8" s="115"/>
      <c r="P8" s="115"/>
      <c r="Q8" s="118">
        <f t="shared" si="3"/>
        <v>1</v>
      </c>
      <c r="R8" s="158" t="s">
        <v>306</v>
      </c>
      <c r="S8" s="94">
        <f>SUM(0,IF(E1="Reserva",+1,0), IF(E2="Reserva",+1,0), IF(E3="Reserva",+1,0), IF(E4="Reserva",+1,0), IF(E5="Reserva",+1,0), IF(E6="Reserva",+1,0), IF(E7="Reserva",+1,0), IF(E8="Reserva",+1,0), IF(E9="Reserva",+1,0), IF(E10="Reserva",+1,0), IF(E11="Reserva",+1,0), IF(E12="Reserva",+1,0), IF(E13="Reserva",+1,0), IF(E14="Reserva",+1,0), IF(E15="Reserva",+1,0), IF(E16="Reserva",+1,0), IF(E17="Reserva",+1,0), IF(E18="Reserva",+1,0), IF(E19="Reserva",+1,0), IF(E20="Reserva",+1,0), IF(E21="Reserva",+1,0), IF(E22="Reserva",+1,0), IF(E23="Reserva",+1,0), IF(E24="Reserva",+1,0), IF(E25="Reserva",+1,0), IF(E26="Reserva",+1,0), IF(E27="Reserva",+1,0), IF(E28="Reserva",+1,0), IF(E29="Reserva",+1,0), IF(E30="Reserva",+1,0), IF(E31="Reserva",+1,0), IF(E32="Reserva",+1,0), IF(E33="Reserva",+1,0), IF(E34="Reserva",+1,0), IF(E35="Reserva",+1,0), IF(E36="Reserva",+1,0), IF(E37="Reserva",+1,0), IF(E38="Reserva",+1,0), IF(E39="Reserva",+1,0), IF(E40="Reserva",+1,0), IF(E41="Reserva",+1,0), IF(E42="Reserva",+1,0), IF(E43="Reserva",+1,0), IF(E44="Reserva",+1,0), IF(E45="Reserva",+1,0), IF(E46="Reserva",+1,0), IF(E47="Reserva",+1,0), IF(E48="Reserva",+1,0), IF(E49="Reserva",+1,0), IF(E50="Reserva",+1,0), IF(E51="Reserva",+1,0), IF(E52="Reserva",+1,0), IF(E53="Reserva",+1,0), IF(E54="Reserva",+1,0), IF(E55="Reserva",+1,0), IF(E56="Reserva",+1,0), IF(E57="Reserva",+1,0), IF(E58="Reserva",+1,0), IF(E59="Reserva",+1,0), IF(E60="Reserva",+1,0), IF(E61="Reserva",+1,0), IF(E62="Reserva",+1,0), IF(E63="Reserva",+1,0), IF(E64="Reserva",+1,0), IF(E65="Reserva",+1,0), IF(E66="Reserva",+1,0), IF(E67="Reserva",+1,0), IF(E68="Reserva",+1,0), IF(E69="Reserva",+1,0), IF(E70="Reserva",+1,0), IF(E71="Reserva",+1,0), IF(E72="Reserva",+1,0), IF(E73="Reserva",+1,0), IF(E74="Reserva",+1,0), IF(E75="Reserva",+1,0), IF(E76="Reserva",+1,0), IF(E77="Reserva",+1,0), IF(E78="Reserva",+1,0), IF(E79="Reserva",+1,0), IF(E80="Reserva",+1,0), IF(E81="Reserva",+1,0), IF(E82="Reserva",+1,0), IF(E83="Reserva",+1,0), IF(E84="Reserva",+1,0), IF(E85="Reserva",+1,0), IF(E86="Reserva",+1,0), IF(E87="Reserva",+1,0), IF(E88="Reserva",+1,0), IF(E89="Reserva",+1,0), IF(E90="Reserva",+1,0), IF(E91="Reserva",+1,0), IF(E92="Reserva",+1,0), IF(E93="Reserva",+1,0), IF(E94="Reserva",+1,0), IF(E95="Reserva",+1,0), IF(E96="Reserva",+1,0), IF(E97="Reserva",+1,0), IF(E98="Reserva",+1,0), IF(E99="Reserva",+1,0))</f>
        <v>18</v>
      </c>
      <c r="T8" s="152" t="s">
        <v>89</v>
      </c>
      <c r="U8" s="94">
        <f>SUM(0,IF(E7="Espectro",+1,0), IF(E8="Espectro",+1,0), IF(E9="Espectro",+1,0), IF(E10="Espectro",+1,0), IF(E11="Espectro",+1,0), IF(E12="Espectro",+1,0), IF(E13="Espectro",+1,0), IF(E14="Espectro",+1,0), IF(E15="Espectro",+1,0), IF(E16="Espectro",+1,0), IF(E17="Espectro",+1,0), IF(E18="Espectro",+1,0), IF(E19="Espectro",+1,0), IF(E20="Espectro",+1,0), IF(E21="Espectro",+1,0), IF(E22="Espectro",+1,0), IF(E23="Espectro",+1,0), IF(E24="Espectro",+1,0), IF(E25="Espectro",+1,0), IF(E26="Espectro",+1,0), IF(E27="Espectro",+1,0), IF(E28="Espectro",+1,0), IF(E29="Espectro",+1,0), IF(E30="Espectro",+1,0), IF(E31="Espectro",+1,0), IF(E32="Espectro",+1,0), IF(E33="Espectro",+1,0), IF(E34="Espectro",+1,0), IF(E35="Espectro",+1,0), IF(E36="Espectro",+1,0), IF(E37="Espectro",+1,0), IF(E38="Espectro",+1,0), IF(E39="Espectro",+1,0), IF(E40="Espectro",+1,0), IF(E41="Espectro",+1,0), IF(E42="Espectro",+1,0), IF(E43="Espectro",+1,0), IF(E44="Espectro",+1,0), IF(E45="Espectro",+1,0), IF(E46="Espectro",+1,0), IF(E47="Espectro",+1,0), IF(E48="Espectro",+1,0), IF(E49="Espectro",+1,0), IF(E50="Espectro",+1,0), IF(E51="Espectro",+1,0), IF(E52="Espectro",+1,0), IF(E53="Espectro",+1,0), IF(E54="Espectro",+1,0), IF(E55="Espectro",+1,0), IF(E56="Espectro",+1,0), IF(E57="Espectro",+1,0), IF(E58="Espectro",+1,0), IF(E59="Espectro",+1,0), IF(E60="Espectro",+1,0), IF(E61="Espectro",+1,0), IF(E62="Espectro",+1,0), IF(E63="Espectro",+1,0), IF(E64="Espectro",+1,0), IF(E65="Espectro",+1,0), IF(E66="Espectro",+1,0), IF(E67="Espectro",+1,0), IF(E68="Espectro",+1,0), IF(E69="Espectro",+1,0), IF(E70="Espectro",+1,0), IF(E71="Espectro",+1,0), IF(E72="Espectro",+1,0), IF(E73="Espectro",+1,0), IF(E74="Espectro",+1,0), IF(E75="Espectro",+1,0), IF(E76="Espectro",+1,0), IF(E77="Espectro",+1,0), IF(E78="Espectro",+1,0), IF(E79="Espectro",+1,0), IF(E80="Espectro",+1,0), IF(E81="Espectro",+1,0), IF(E82="Espectro",+1,0), IF(E83="Espectro",+1,0), IF(E84="Espectro",+1,0), IF(E85="Espectro",+1,0), IF(E86="Espectro",+1,0), IF(E87="Espectro",+1,0), IF(E88="Espectro",+1,0), IF(E89="Espectro",+1,0), IF(E90="Espectro",+1,0), IF(E91="Espectro",+1,0), IF(E92="Espectro",+1,0), IF(E93="Espectro",+1,0), IF(E94="Espectro",+1,0), IF(E95="Espectro",+1,0), IF(E96="Espectro",+1,0), IF(E97="Espectro",+1,0), IF(E98="Espectro",+1,0), IF(E99="Espectro",+1,0), IF(E100="Espectro",+1,0), IF(E101="Espectro",+1,0), IF(E102="Espectro",+1,0), IF(E103="Espectro",+1,0), IF(E104="Espectro",+1,0), IF(E105="Espectro",+1,0))</f>
        <v>3</v>
      </c>
    </row>
    <row r="9" ht="15.75" customHeight="1">
      <c r="A9" s="114">
        <f t="shared" si="1"/>
        <v>3</v>
      </c>
      <c r="B9" s="114">
        <f t="shared" si="2"/>
        <v>10</v>
      </c>
      <c r="C9" s="107" t="s">
        <v>84</v>
      </c>
      <c r="D9" s="115" t="s">
        <v>305</v>
      </c>
      <c r="E9" s="109" t="s">
        <v>50</v>
      </c>
      <c r="F9" s="115" t="s">
        <v>57</v>
      </c>
      <c r="G9" s="115" t="s">
        <v>21</v>
      </c>
      <c r="H9" s="115" t="s">
        <v>21</v>
      </c>
      <c r="I9" s="115" t="s">
        <v>21</v>
      </c>
      <c r="J9" s="115" t="s">
        <v>21</v>
      </c>
      <c r="K9" s="115" t="s">
        <v>21</v>
      </c>
      <c r="L9" s="115" t="s">
        <v>21</v>
      </c>
      <c r="M9" s="115" t="s">
        <v>21</v>
      </c>
      <c r="N9" s="115"/>
      <c r="O9" s="115"/>
      <c r="P9" s="115"/>
      <c r="Q9" s="118">
        <f t="shared" si="3"/>
        <v>1</v>
      </c>
      <c r="T9" s="152" t="s">
        <v>92</v>
      </c>
      <c r="U9" s="94">
        <f>SUM(0,IF(E8="Caballeria",+1,0), IF(E9="Caballeria",+1,0), IF(E10="Caballeria",+1,0), IF(E11="Caballeria",+1,0), IF(E12="Caballeria",+1,0), IF(E13="Caballeria",+1,0), IF(E14="Caballeria",+1,0), IF(E15="Caballeria",+1,0), IF(E16="Caballeria",+1,0), IF(E17="Caballeria",+1,0), IF(E18="Caballeria",+1,0), IF(E19="Caballeria",+1,0), IF(E20="Caballeria",+1,0), IF(E21="Caballeria",+1,0), IF(E22="Caballeria",+1,0), IF(E23="Caballeria",+1,0), IF(E24="Caballeria",+1,0), IF(E25="Caballeria",+1,0), IF(E26="Caballeria",+1,0), IF(E27="Caballeria",+1,0), IF(E28="Caballeria",+1,0), IF(E29="Caballeria",+1,0), IF(E30="Caballeria",+1,0), IF(E31="Caballeria",+1,0), IF(E32="Caballeria",+1,0), IF(E33="Caballeria",+1,0), IF(E34="Caballeria",+1,0), IF(E35="Caballeria",+1,0), IF(E36="Caballeria",+1,0), IF(E37="Caballeria",+1,0), IF(E38="Caballeria",+1,0), IF(E39="Caballeria",+1,0), IF(E40="Caballeria",+1,0), IF(E41="Caballeria",+1,0), IF(E42="Caballeria",+1,0), IF(E43="Caballeria",+1,0), IF(E44="Caballeria",+1,0), IF(E45="Caballeria",+1,0), IF(E46="Caballeria",+1,0), IF(E47="Caballeria",+1,0), IF(E48="Caballeria",+1,0), IF(E49="Caballeria",+1,0), IF(E50="Caballeria",+1,0), IF(E51="Caballeria",+1,0), IF(E52="Caballeria",+1,0), IF(E53="Caballeria",+1,0), IF(E54="Caballeria",+1,0), IF(E55="Caballeria",+1,0), IF(E56="Caballeria",+1,0), IF(E57="Caballeria",+1,0), IF(E58="Caballeria",+1,0), IF(E59="Caballeria",+1,0), IF(E60="Caballeria",+1,0), IF(E61="Caballeria",+1,0), IF(E62="Caballeria",+1,0), IF(E63="Caballeria",+1,0), IF(E64="Caballeria",+1,0), IF(E65="Caballeria",+1,0), IF(E66="Caballeria",+1,0), IF(E67="Caballeria",+1,0), IF(E68="Caballeria",+1,0), IF(E69="Caballeria",+1,0), IF(E70="Caballeria",+1,0), IF(E71="Caballeria",+1,0), IF(E72="Caballeria",+1,0), IF(E73="Caballeria",+1,0), IF(E74="Caballeria",+1,0), IF(E75="Caballeria",+1,0), IF(E76="Caballeria",+1,0), IF(E77="Caballeria",+1,0), IF(E78="Caballeria",+1,0), IF(E79="Caballeria",+1,0), IF(E80="Caballeria",+1,0), IF(E81="Caballeria",+1,0), IF(E82="Caballeria",+1,0), IF(E83="Caballeria",+1,0), IF(E84="Caballeria",+1,0), IF(E85="Caballeria",+1,0), IF(E86="Caballeria",+1,0), IF(E87="Caballeria",+1,0), IF(E88="Caballeria",+1,0), IF(E89="Caballeria",+1,0), IF(E90="Caballeria",+1,0), IF(E91="Caballeria",+1,0), IF(E92="Caballeria",+1,0), IF(E93="Caballeria",+1,0), IF(E94="Caballeria",+1,0), IF(E95="Caballeria",+1,0), IF(E96="Caballeria",+1,0), IF(E97="Caballeria",+1,0), IF(E98="Caballeria",+1,0), IF(E99="Caballeria",+1,0), IF(E100="Caballeria",+1,0), IF(E101="Caballeria",+1,0), IF(E102="Caballeria",+1,0), IF(E103="Caballeria",+1,0), IF(E104="Caballeria",+1,0), IF(E105="Caballeria",+1,0), IF(E106="Caballeria",+1,0))</f>
        <v>5</v>
      </c>
    </row>
    <row r="10" ht="15.75" customHeight="1">
      <c r="A10" s="114">
        <f t="shared" si="1"/>
        <v>3</v>
      </c>
      <c r="B10" s="114">
        <f t="shared" si="2"/>
        <v>10</v>
      </c>
      <c r="C10" s="107" t="s">
        <v>84</v>
      </c>
      <c r="D10" s="115" t="s">
        <v>83</v>
      </c>
      <c r="E10" s="109" t="s">
        <v>50</v>
      </c>
      <c r="F10" s="115" t="s">
        <v>63</v>
      </c>
      <c r="G10" s="115" t="s">
        <v>21</v>
      </c>
      <c r="H10" s="115" t="s">
        <v>21</v>
      </c>
      <c r="I10" s="115" t="s">
        <v>21</v>
      </c>
      <c r="J10" s="115" t="s">
        <v>21</v>
      </c>
      <c r="K10" s="115" t="s">
        <v>21</v>
      </c>
      <c r="L10" s="115" t="s">
        <v>21</v>
      </c>
      <c r="M10" s="115" t="s">
        <v>24</v>
      </c>
      <c r="N10" s="115"/>
      <c r="O10" s="115"/>
      <c r="P10" s="115"/>
      <c r="Q10" s="118">
        <f t="shared" si="3"/>
        <v>0.8571428571</v>
      </c>
      <c r="T10" s="152" t="s">
        <v>95</v>
      </c>
      <c r="U10" s="94">
        <f>SUM(0,IF(E9="FAZR",+1,0), IF(E10="FAZR",+1,0), IF(E11="FAZR",+1,0), IF(E12="FAZR",+1,0), IF(E13="FAZR",+1,0), IF(E14="FAZR",+1,0), IF(E15="FAZR",+1,0), IF(E16="FAZR",+1,0), IF(E17="FAZR",+1,0), IF(E18="FAZR",+1,0), IF(E19="FAZR",+1,0), IF(E20="FAZR",+1,0), IF(E21="FAZR",+1,0), IF(E22="FAZR",+1,0), IF(E23="FAZR",+1,0), IF(E24="FAZR",+1,0), IF(E25="FAZR",+1,0), IF(E26="FAZR",+1,0), IF(E27="FAZR",+1,0), IF(E28="FAZR",+1,0), IF(E29="FAZR",+1,0), IF(E30="FAZR",+1,0), IF(E31="FAZR",+1,0), IF(E32="FAZR",+1,0), IF(E33="FAZR",+1,0), IF(E34="FAZR",+1,0), IF(E35="FAZR",+1,0), IF(E36="FAZR",+1,0), IF(E37="FAZR",+1,0), IF(E38="FAZR",+1,0), IF(E39="FAZR",+1,0), IF(E40="FAZR",+1,0), IF(E41="FAZR",+1,0), IF(E42="FAZR",+1,0), IF(E43="FAZR",+1,0), IF(E44="FAZR",+1,0), IF(E45="FAZR",+1,0), IF(E46="FAZR",+1,0), IF(E47="FAZR",+1,0), IF(E48="FAZR",+1,0), IF(E49="FAZR",+1,0), IF(E50="FAZR",+1,0), IF(E51="FAZR",+1,0), IF(E52="FAZR",+1,0), IF(E53="FAZR",+1,0), IF(E54="FAZR",+1,0), IF(E55="FAZR",+1,0), IF(E56="FAZR",+1,0), IF(E57="FAZR",+1,0), IF(E58="FAZR",+1,0), IF(E59="FAZR",+1,0), IF(E60="FAZR",+1,0), IF(E61="FAZR",+1,0), IF(E62="FAZR",+1,0), IF(E63="FAZR",+1,0), IF(E64="FAZR",+1,0), IF(E65="FAZR",+1,0), IF(E66="FAZR",+1,0), IF(E67="FAZR",+1,0), IF(E68="FAZR",+1,0), IF(E69="FAZR",+1,0), IF(E70="FAZR",+1,0), IF(E71="FAZR",+1,0), IF(E72="FAZR",+1,0), IF(E73="FAZR",+1,0), IF(E74="FAZR",+1,0), IF(E75="FAZR",+1,0), IF(E76="FAZR",+1,0), IF(E77="FAZR",+1,0), IF(E78="FAZR",+1,0), IF(E79="FAZR",+1,0), IF(E80="FAZR",+1,0), IF(E81="FAZR",+1,0), IF(E82="FAZR",+1,0), IF(E83="FAZR",+1,0), IF(E84="FAZR",+1,0), IF(E85="FAZR",+1,0), IF(E86="FAZR",+1,0), IF(E87="FAZR",+1,0), IF(E88="FAZR",+1,0), IF(E89="FAZR",+1,0), IF(E90="FAZR",+1,0), IF(E91="FAZR",+1,0), IF(E92="FAZR",+1,0), IF(E93="FAZR",+1,0), IF(E94="FAZR",+1,0), IF(E95="FAZR",+1,0), IF(E96="FAZR",+1,0), IF(E97="FAZR",+1,0), IF(E98="FAZR",+1,0), IF(E99="FAZR",+1,0), IF(E100="FAZR",+1,0), IF(E101="FAZR",+1,0), IF(E102="FAZR",+1,0), IF(E103="FAZR",+1,0), IF(E104="FAZR",+1,0), IF(E105="FAZR",+1,0), IF(E106="FAZR",+1,0), IF(E107="FAZR",+1,0))</f>
        <v>3</v>
      </c>
    </row>
    <row r="11" ht="15.75" customHeight="1">
      <c r="A11" s="114">
        <f t="shared" si="1"/>
        <v>3</v>
      </c>
      <c r="B11" s="114">
        <f t="shared" si="2"/>
        <v>10</v>
      </c>
      <c r="C11" s="107" t="s">
        <v>84</v>
      </c>
      <c r="D11" s="115" t="s">
        <v>198</v>
      </c>
      <c r="E11" s="109" t="s">
        <v>50</v>
      </c>
      <c r="F11" s="115" t="s">
        <v>68</v>
      </c>
      <c r="G11" s="115" t="s">
        <v>21</v>
      </c>
      <c r="H11" s="115" t="s">
        <v>21</v>
      </c>
      <c r="I11" s="115" t="s">
        <v>21</v>
      </c>
      <c r="J11" s="115" t="s">
        <v>21</v>
      </c>
      <c r="K11" s="115" t="s">
        <v>21</v>
      </c>
      <c r="L11" s="115" t="s">
        <v>21</v>
      </c>
      <c r="M11" s="115" t="s">
        <v>21</v>
      </c>
      <c r="N11" s="115"/>
      <c r="O11" s="115"/>
      <c r="P11" s="115"/>
      <c r="Q11" s="118">
        <f t="shared" si="3"/>
        <v>1</v>
      </c>
      <c r="R11" s="162" t="s">
        <v>167</v>
      </c>
      <c r="S11" s="5"/>
      <c r="T11" s="138"/>
      <c r="U11" s="100" t="s">
        <v>345</v>
      </c>
    </row>
    <row r="12" ht="15.75" customHeight="1">
      <c r="A12" s="114">
        <f t="shared" si="1"/>
        <v>3</v>
      </c>
      <c r="B12" s="114">
        <f t="shared" si="2"/>
        <v>11</v>
      </c>
      <c r="C12" s="107" t="s">
        <v>79</v>
      </c>
      <c r="D12" s="115" t="s">
        <v>346</v>
      </c>
      <c r="E12" s="109" t="s">
        <v>50</v>
      </c>
      <c r="F12" s="115" t="s">
        <v>68</v>
      </c>
      <c r="G12" s="115" t="s">
        <v>37</v>
      </c>
      <c r="H12" s="115" t="s">
        <v>37</v>
      </c>
      <c r="I12" s="115" t="s">
        <v>37</v>
      </c>
      <c r="J12" s="115" t="s">
        <v>37</v>
      </c>
      <c r="K12" s="115" t="s">
        <v>37</v>
      </c>
      <c r="L12" s="115" t="s">
        <v>37</v>
      </c>
      <c r="M12" s="115" t="s">
        <v>37</v>
      </c>
      <c r="N12" s="115"/>
      <c r="O12" s="115"/>
      <c r="P12" s="115"/>
      <c r="Q12" s="118">
        <f t="shared" si="3"/>
        <v>0</v>
      </c>
      <c r="R12" s="133" t="s">
        <v>9</v>
      </c>
      <c r="S12" s="5"/>
      <c r="T12" s="115" t="s">
        <v>286</v>
      </c>
      <c r="U12" s="115" t="s">
        <v>171</v>
      </c>
      <c r="V12" s="115" t="s">
        <v>176</v>
      </c>
    </row>
    <row r="13" ht="15.75" customHeight="1">
      <c r="A13" s="114">
        <f t="shared" si="1"/>
        <v>3</v>
      </c>
      <c r="B13" s="114">
        <f t="shared" si="2"/>
        <v>11</v>
      </c>
      <c r="C13" s="107" t="s">
        <v>79</v>
      </c>
      <c r="D13" s="115" t="s">
        <v>294</v>
      </c>
      <c r="E13" s="109" t="s">
        <v>50</v>
      </c>
      <c r="F13" s="115" t="s">
        <v>68</v>
      </c>
      <c r="G13" s="115" t="s">
        <v>24</v>
      </c>
      <c r="H13" s="115" t="s">
        <v>24</v>
      </c>
      <c r="I13" s="115" t="s">
        <v>24</v>
      </c>
      <c r="J13" s="115" t="s">
        <v>24</v>
      </c>
      <c r="K13" s="115" t="s">
        <v>24</v>
      </c>
      <c r="L13" s="115" t="s">
        <v>24</v>
      </c>
      <c r="M13" s="115" t="s">
        <v>24</v>
      </c>
      <c r="N13" s="115"/>
      <c r="O13" s="115"/>
      <c r="P13" s="115"/>
      <c r="Q13" s="118">
        <f t="shared" si="3"/>
        <v>0</v>
      </c>
      <c r="R13" s="133" t="s">
        <v>318</v>
      </c>
      <c r="S13" s="4"/>
      <c r="T13" s="134">
        <v>43170.0</v>
      </c>
      <c r="U13" s="106" t="s">
        <v>182</v>
      </c>
      <c r="V13" s="106" t="s">
        <v>348</v>
      </c>
    </row>
    <row r="14" ht="15.75" customHeight="1">
      <c r="A14" s="114">
        <f t="shared" si="1"/>
        <v>3</v>
      </c>
      <c r="B14" s="114">
        <f t="shared" si="2"/>
        <v>11</v>
      </c>
      <c r="C14" s="107" t="s">
        <v>79</v>
      </c>
      <c r="D14" s="115" t="s">
        <v>315</v>
      </c>
      <c r="E14" s="109" t="s">
        <v>50</v>
      </c>
      <c r="F14" s="115" t="s">
        <v>68</v>
      </c>
      <c r="G14" s="115" t="s">
        <v>30</v>
      </c>
      <c r="H14" s="115" t="s">
        <v>21</v>
      </c>
      <c r="I14" s="115" t="s">
        <v>21</v>
      </c>
      <c r="J14" s="115" t="s">
        <v>33</v>
      </c>
      <c r="K14" s="115" t="s">
        <v>21</v>
      </c>
      <c r="L14" s="115" t="s">
        <v>21</v>
      </c>
      <c r="M14" s="115" t="s">
        <v>21</v>
      </c>
      <c r="N14" s="115"/>
      <c r="O14" s="115"/>
      <c r="P14" s="115"/>
      <c r="Q14" s="118">
        <f t="shared" si="3"/>
        <v>0.7142857143</v>
      </c>
      <c r="R14" s="133" t="s">
        <v>310</v>
      </c>
      <c r="S14" s="4"/>
      <c r="T14" s="134">
        <v>43182.0</v>
      </c>
      <c r="U14" s="106" t="s">
        <v>182</v>
      </c>
      <c r="V14" s="106" t="s">
        <v>348</v>
      </c>
    </row>
    <row r="15" ht="15.75" customHeight="1">
      <c r="A15" s="114">
        <f t="shared" si="1"/>
        <v>3</v>
      </c>
      <c r="B15" s="114">
        <f t="shared" si="2"/>
        <v>11</v>
      </c>
      <c r="C15" s="107" t="s">
        <v>79</v>
      </c>
      <c r="D15" s="115" t="s">
        <v>309</v>
      </c>
      <c r="E15" s="109" t="s">
        <v>50</v>
      </c>
      <c r="F15" s="115" t="s">
        <v>68</v>
      </c>
      <c r="G15" s="115" t="s">
        <v>339</v>
      </c>
      <c r="H15" s="115" t="s">
        <v>339</v>
      </c>
      <c r="I15" s="115" t="s">
        <v>339</v>
      </c>
      <c r="J15" s="115" t="s">
        <v>339</v>
      </c>
      <c r="K15" s="115" t="s">
        <v>339</v>
      </c>
      <c r="L15" s="115" t="s">
        <v>339</v>
      </c>
      <c r="M15" s="115" t="s">
        <v>21</v>
      </c>
      <c r="N15" s="115"/>
      <c r="O15" s="115"/>
      <c r="P15" s="115"/>
      <c r="Q15" s="118">
        <f t="shared" si="3"/>
        <v>0.1428571429</v>
      </c>
      <c r="R15" s="133" t="s">
        <v>311</v>
      </c>
      <c r="S15" s="4"/>
      <c r="T15" s="134">
        <v>43185.0</v>
      </c>
      <c r="U15" s="106" t="s">
        <v>182</v>
      </c>
      <c r="V15" s="106" t="s">
        <v>348</v>
      </c>
    </row>
    <row r="16" ht="15.75" customHeight="1">
      <c r="A16" s="114">
        <f t="shared" si="1"/>
        <v>3</v>
      </c>
      <c r="B16" s="114">
        <f t="shared" si="2"/>
        <v>10</v>
      </c>
      <c r="C16" s="107" t="s">
        <v>84</v>
      </c>
      <c r="D16" s="115" t="s">
        <v>67</v>
      </c>
      <c r="E16" s="109" t="s">
        <v>50</v>
      </c>
      <c r="F16" s="115" t="s">
        <v>85</v>
      </c>
      <c r="G16" s="115" t="s">
        <v>21</v>
      </c>
      <c r="H16" s="115" t="s">
        <v>24</v>
      </c>
      <c r="I16" s="115" t="s">
        <v>21</v>
      </c>
      <c r="J16" s="115" t="s">
        <v>21</v>
      </c>
      <c r="K16" s="115" t="s">
        <v>24</v>
      </c>
      <c r="L16" s="115" t="s">
        <v>33</v>
      </c>
      <c r="M16" s="115" t="s">
        <v>21</v>
      </c>
      <c r="N16" s="115"/>
      <c r="O16" s="115"/>
      <c r="P16" s="115"/>
      <c r="Q16" s="118">
        <f t="shared" si="3"/>
        <v>0.5714285714</v>
      </c>
      <c r="R16" s="133" t="s">
        <v>349</v>
      </c>
      <c r="S16" s="4"/>
      <c r="T16" s="134">
        <v>43167.0</v>
      </c>
      <c r="U16" s="106" t="s">
        <v>182</v>
      </c>
      <c r="V16" s="106" t="s">
        <v>348</v>
      </c>
    </row>
    <row r="17" ht="15.75" customHeight="1">
      <c r="A17" s="114">
        <f t="shared" si="1"/>
        <v>3</v>
      </c>
      <c r="B17" s="114">
        <f t="shared" si="2"/>
        <v>11</v>
      </c>
      <c r="C17" s="107" t="s">
        <v>79</v>
      </c>
      <c r="D17" s="115" t="s">
        <v>165</v>
      </c>
      <c r="E17" s="109" t="s">
        <v>50</v>
      </c>
      <c r="F17" s="115" t="s">
        <v>85</v>
      </c>
      <c r="G17" s="115" t="s">
        <v>21</v>
      </c>
      <c r="H17" s="115" t="s">
        <v>21</v>
      </c>
      <c r="I17" s="115" t="s">
        <v>21</v>
      </c>
      <c r="J17" s="115" t="s">
        <v>21</v>
      </c>
      <c r="K17" s="115" t="s">
        <v>21</v>
      </c>
      <c r="L17" s="115" t="s">
        <v>21</v>
      </c>
      <c r="M17" s="115" t="s">
        <v>21</v>
      </c>
      <c r="N17" s="115"/>
      <c r="O17" s="115"/>
      <c r="P17" s="115"/>
      <c r="Q17" s="118">
        <f t="shared" si="3"/>
        <v>1</v>
      </c>
      <c r="R17" s="133" t="s">
        <v>312</v>
      </c>
      <c r="S17" s="4"/>
      <c r="T17" s="134">
        <v>43191.0</v>
      </c>
      <c r="U17" s="106" t="s">
        <v>182</v>
      </c>
      <c r="V17" s="106" t="s">
        <v>348</v>
      </c>
    </row>
    <row r="18" ht="15.75" customHeight="1">
      <c r="A18" s="114">
        <f t="shared" si="1"/>
        <v>4</v>
      </c>
      <c r="B18" s="114">
        <f t="shared" si="2"/>
        <v>9</v>
      </c>
      <c r="C18" s="107" t="s">
        <v>64</v>
      </c>
      <c r="D18" s="115" t="s">
        <v>226</v>
      </c>
      <c r="E18" s="109" t="s">
        <v>115</v>
      </c>
      <c r="F18" s="115" t="s">
        <v>51</v>
      </c>
      <c r="G18" s="115" t="s">
        <v>24</v>
      </c>
      <c r="H18" s="115" t="s">
        <v>21</v>
      </c>
      <c r="I18" s="115" t="s">
        <v>21</v>
      </c>
      <c r="J18" s="115" t="s">
        <v>24</v>
      </c>
      <c r="K18" s="115" t="s">
        <v>24</v>
      </c>
      <c r="L18" s="115" t="s">
        <v>21</v>
      </c>
      <c r="M18" s="115" t="s">
        <v>21</v>
      </c>
      <c r="N18" s="115"/>
      <c r="O18" s="115"/>
      <c r="P18" s="115"/>
      <c r="Q18" s="118">
        <f t="shared" si="3"/>
        <v>0.5714285714</v>
      </c>
      <c r="R18" s="133" t="s">
        <v>323</v>
      </c>
      <c r="S18" s="4"/>
      <c r="T18" s="134">
        <v>43160.0</v>
      </c>
      <c r="U18" s="106" t="s">
        <v>182</v>
      </c>
      <c r="V18" s="106" t="s">
        <v>348</v>
      </c>
    </row>
    <row r="19" ht="15.75" customHeight="1">
      <c r="A19" s="114">
        <f t="shared" si="1"/>
        <v>4</v>
      </c>
      <c r="B19" s="114">
        <f t="shared" si="2"/>
        <v>10</v>
      </c>
      <c r="C19" s="107" t="s">
        <v>84</v>
      </c>
      <c r="D19" s="115" t="s">
        <v>141</v>
      </c>
      <c r="E19" s="109" t="s">
        <v>115</v>
      </c>
      <c r="F19" s="115" t="s">
        <v>57</v>
      </c>
      <c r="G19" s="115" t="s">
        <v>21</v>
      </c>
      <c r="H19" s="115" t="s">
        <v>21</v>
      </c>
      <c r="I19" s="115" t="s">
        <v>21</v>
      </c>
      <c r="J19" s="115" t="s">
        <v>21</v>
      </c>
      <c r="K19" s="115" t="s">
        <v>24</v>
      </c>
      <c r="L19" s="115" t="s">
        <v>24</v>
      </c>
      <c r="M19" s="115" t="s">
        <v>21</v>
      </c>
      <c r="N19" s="115"/>
      <c r="O19" s="115"/>
      <c r="P19" s="115"/>
      <c r="Q19" s="118">
        <f t="shared" si="3"/>
        <v>0.7142857143</v>
      </c>
      <c r="R19" s="133" t="s">
        <v>313</v>
      </c>
      <c r="S19" s="5"/>
      <c r="T19" s="134">
        <v>43191.0</v>
      </c>
      <c r="U19" s="106" t="s">
        <v>182</v>
      </c>
      <c r="V19" s="106"/>
    </row>
    <row r="20" ht="15.75" customHeight="1">
      <c r="A20" s="114">
        <f t="shared" si="1"/>
        <v>4</v>
      </c>
      <c r="B20" s="114">
        <f t="shared" si="2"/>
        <v>9</v>
      </c>
      <c r="C20" s="107" t="s">
        <v>64</v>
      </c>
      <c r="D20" s="115" t="s">
        <v>248</v>
      </c>
      <c r="E20" s="109" t="s">
        <v>115</v>
      </c>
      <c r="F20" s="115" t="s">
        <v>63</v>
      </c>
      <c r="G20" s="115" t="s">
        <v>24</v>
      </c>
      <c r="H20" s="115" t="s">
        <v>24</v>
      </c>
      <c r="I20" s="115" t="s">
        <v>24</v>
      </c>
      <c r="J20" s="115" t="s">
        <v>24</v>
      </c>
      <c r="K20" s="115" t="s">
        <v>21</v>
      </c>
      <c r="L20" s="115" t="s">
        <v>21</v>
      </c>
      <c r="M20" s="115" t="s">
        <v>21</v>
      </c>
      <c r="N20" s="115"/>
      <c r="O20" s="115"/>
      <c r="P20" s="115"/>
      <c r="Q20" s="118">
        <f t="shared" si="3"/>
        <v>0.4285714286</v>
      </c>
      <c r="R20" s="133" t="s">
        <v>350</v>
      </c>
      <c r="S20" s="5"/>
      <c r="T20" s="134">
        <v>43175.0</v>
      </c>
      <c r="U20" s="106" t="s">
        <v>182</v>
      </c>
      <c r="V20" s="106"/>
    </row>
    <row r="21" ht="15.75" customHeight="1">
      <c r="A21" s="114">
        <f t="shared" si="1"/>
        <v>4</v>
      </c>
      <c r="B21" s="114">
        <f t="shared" si="2"/>
        <v>9</v>
      </c>
      <c r="C21" s="107" t="s">
        <v>64</v>
      </c>
      <c r="D21" s="115" t="s">
        <v>118</v>
      </c>
      <c r="E21" s="109" t="s">
        <v>115</v>
      </c>
      <c r="F21" s="115" t="s">
        <v>68</v>
      </c>
      <c r="G21" s="115" t="s">
        <v>33</v>
      </c>
      <c r="H21" s="115" t="s">
        <v>24</v>
      </c>
      <c r="I21" s="115" t="s">
        <v>24</v>
      </c>
      <c r="J21" s="115" t="s">
        <v>33</v>
      </c>
      <c r="K21" s="115" t="s">
        <v>21</v>
      </c>
      <c r="L21" s="115" t="s">
        <v>21</v>
      </c>
      <c r="M21" s="115" t="s">
        <v>24</v>
      </c>
      <c r="N21" s="115"/>
      <c r="O21" s="115"/>
      <c r="P21" s="115"/>
      <c r="Q21" s="118">
        <f t="shared" si="3"/>
        <v>0.2857142857</v>
      </c>
      <c r="R21" s="133"/>
      <c r="S21" s="5"/>
      <c r="T21" s="134"/>
      <c r="U21" s="106"/>
      <c r="V21" s="106"/>
    </row>
    <row r="22" ht="15.75" customHeight="1">
      <c r="A22" s="114">
        <f t="shared" si="1"/>
        <v>4</v>
      </c>
      <c r="B22" s="114">
        <f t="shared" si="2"/>
        <v>11</v>
      </c>
      <c r="C22" s="107" t="s">
        <v>79</v>
      </c>
      <c r="D22" s="115" t="s">
        <v>351</v>
      </c>
      <c r="E22" s="109" t="s">
        <v>115</v>
      </c>
      <c r="F22" s="115" t="s">
        <v>85</v>
      </c>
      <c r="G22" s="115" t="s">
        <v>21</v>
      </c>
      <c r="H22" s="115" t="s">
        <v>37</v>
      </c>
      <c r="I22" s="115" t="s">
        <v>37</v>
      </c>
      <c r="J22" s="115" t="s">
        <v>37</v>
      </c>
      <c r="K22" s="115" t="s">
        <v>37</v>
      </c>
      <c r="L22" s="115" t="s">
        <v>21</v>
      </c>
      <c r="M22" s="115" t="s">
        <v>21</v>
      </c>
      <c r="N22" s="115"/>
      <c r="O22" s="115"/>
      <c r="P22" s="115"/>
      <c r="Q22" s="118">
        <f t="shared" si="3"/>
        <v>0.4285714286</v>
      </c>
      <c r="R22" s="133"/>
      <c r="S22" s="5"/>
      <c r="T22" s="134"/>
      <c r="U22" s="106"/>
      <c r="V22" s="106"/>
    </row>
    <row r="23" ht="15.75" customHeight="1">
      <c r="A23" s="114">
        <f t="shared" si="1"/>
        <v>4</v>
      </c>
      <c r="B23" s="114">
        <f t="shared" si="2"/>
        <v>11</v>
      </c>
      <c r="C23" s="107" t="s">
        <v>79</v>
      </c>
      <c r="D23" s="115" t="s">
        <v>207</v>
      </c>
      <c r="E23" s="109" t="s">
        <v>115</v>
      </c>
      <c r="F23" s="115" t="s">
        <v>85</v>
      </c>
      <c r="G23" s="115" t="s">
        <v>21</v>
      </c>
      <c r="H23" s="115" t="s">
        <v>21</v>
      </c>
      <c r="I23" s="115" t="s">
        <v>24</v>
      </c>
      <c r="J23" s="115" t="s">
        <v>21</v>
      </c>
      <c r="K23" s="115" t="s">
        <v>24</v>
      </c>
      <c r="L23" s="115" t="s">
        <v>21</v>
      </c>
      <c r="M23" s="115" t="s">
        <v>21</v>
      </c>
      <c r="N23" s="115"/>
      <c r="O23" s="115"/>
      <c r="P23" s="115"/>
      <c r="Q23" s="118">
        <f t="shared" si="3"/>
        <v>0.7142857143</v>
      </c>
      <c r="R23" s="133"/>
      <c r="S23" s="5"/>
      <c r="T23" s="134"/>
      <c r="U23" s="106"/>
      <c r="V23" s="106"/>
    </row>
    <row r="24" ht="15.75" customHeight="1">
      <c r="A24" s="114">
        <f t="shared" si="1"/>
        <v>5</v>
      </c>
      <c r="B24" s="114">
        <f t="shared" si="2"/>
        <v>8</v>
      </c>
      <c r="C24" s="107" t="s">
        <v>54</v>
      </c>
      <c r="D24" s="115" t="s">
        <v>114</v>
      </c>
      <c r="E24" s="109" t="s">
        <v>320</v>
      </c>
      <c r="F24" s="115" t="s">
        <v>43</v>
      </c>
      <c r="G24" s="115" t="s">
        <v>21</v>
      </c>
      <c r="H24" s="115" t="s">
        <v>21</v>
      </c>
      <c r="I24" s="115" t="s">
        <v>21</v>
      </c>
      <c r="J24" s="115" t="s">
        <v>21</v>
      </c>
      <c r="K24" s="115" t="s">
        <v>21</v>
      </c>
      <c r="L24" s="115" t="s">
        <v>21</v>
      </c>
      <c r="M24" s="115" t="s">
        <v>21</v>
      </c>
      <c r="N24" s="115"/>
      <c r="O24" s="115"/>
      <c r="P24" s="115"/>
      <c r="Q24" s="118">
        <f t="shared" si="3"/>
        <v>1</v>
      </c>
      <c r="R24" s="133"/>
      <c r="S24" s="5"/>
      <c r="T24" s="134"/>
      <c r="U24" s="106"/>
      <c r="V24" s="106"/>
    </row>
    <row r="25" ht="15.75" customHeight="1">
      <c r="A25" s="114">
        <f t="shared" si="1"/>
        <v>6</v>
      </c>
      <c r="B25" s="114">
        <f t="shared" si="2"/>
        <v>8</v>
      </c>
      <c r="C25" s="107" t="s">
        <v>54</v>
      </c>
      <c r="D25" s="115" t="s">
        <v>100</v>
      </c>
      <c r="E25" s="109" t="s">
        <v>322</v>
      </c>
      <c r="F25" s="115" t="s">
        <v>51</v>
      </c>
      <c r="G25" s="115" t="s">
        <v>21</v>
      </c>
      <c r="H25" s="115" t="s">
        <v>21</v>
      </c>
      <c r="I25" s="115" t="s">
        <v>21</v>
      </c>
      <c r="J25" s="115" t="s">
        <v>21</v>
      </c>
      <c r="K25" s="115" t="s">
        <v>21</v>
      </c>
      <c r="L25" s="115" t="s">
        <v>24</v>
      </c>
      <c r="M25" s="115" t="s">
        <v>21</v>
      </c>
      <c r="N25" s="115"/>
      <c r="O25" s="115"/>
      <c r="P25" s="115"/>
      <c r="Q25" s="118">
        <f t="shared" si="3"/>
        <v>0.8571428571</v>
      </c>
      <c r="R25" s="133"/>
      <c r="S25" s="5"/>
      <c r="T25" s="134"/>
      <c r="U25" s="106"/>
      <c r="V25" s="106"/>
    </row>
    <row r="26" ht="15.75" customHeight="1">
      <c r="A26" s="114">
        <f t="shared" si="1"/>
        <v>6</v>
      </c>
      <c r="B26" s="114">
        <f t="shared" si="2"/>
        <v>9</v>
      </c>
      <c r="C26" s="107" t="s">
        <v>64</v>
      </c>
      <c r="D26" s="115" t="s">
        <v>60</v>
      </c>
      <c r="E26" s="143" t="s">
        <v>322</v>
      </c>
      <c r="F26" s="115" t="s">
        <v>57</v>
      </c>
      <c r="G26" s="115" t="s">
        <v>21</v>
      </c>
      <c r="H26" s="115" t="s">
        <v>21</v>
      </c>
      <c r="I26" s="115" t="s">
        <v>21</v>
      </c>
      <c r="J26" s="115" t="s">
        <v>21</v>
      </c>
      <c r="K26" s="115" t="s">
        <v>21</v>
      </c>
      <c r="L26" s="115" t="s">
        <v>21</v>
      </c>
      <c r="M26" s="115" t="s">
        <v>21</v>
      </c>
      <c r="N26" s="115"/>
      <c r="O26" s="115"/>
      <c r="P26" s="115"/>
      <c r="Q26" s="118">
        <f t="shared" si="3"/>
        <v>1</v>
      </c>
      <c r="R26" s="133"/>
      <c r="S26" s="5"/>
      <c r="T26" s="134"/>
      <c r="U26" s="106"/>
      <c r="V26" s="106"/>
    </row>
    <row r="27" ht="15.75" customHeight="1">
      <c r="A27" s="114">
        <f t="shared" si="1"/>
        <v>6</v>
      </c>
      <c r="B27" s="114">
        <f t="shared" si="2"/>
        <v>9</v>
      </c>
      <c r="C27" s="107" t="s">
        <v>64</v>
      </c>
      <c r="D27" s="115" t="s">
        <v>217</v>
      </c>
      <c r="E27" s="109" t="s">
        <v>322</v>
      </c>
      <c r="F27" s="115" t="s">
        <v>63</v>
      </c>
      <c r="G27" s="115" t="s">
        <v>24</v>
      </c>
      <c r="H27" s="115" t="s">
        <v>24</v>
      </c>
      <c r="I27" s="115" t="s">
        <v>21</v>
      </c>
      <c r="J27" s="115" t="s">
        <v>21</v>
      </c>
      <c r="K27" s="115" t="s">
        <v>24</v>
      </c>
      <c r="L27" s="115" t="s">
        <v>24</v>
      </c>
      <c r="M27" s="115" t="s">
        <v>37</v>
      </c>
      <c r="N27" s="115"/>
      <c r="O27" s="115"/>
      <c r="P27" s="115"/>
      <c r="Q27" s="118">
        <f t="shared" si="3"/>
        <v>0.2857142857</v>
      </c>
      <c r="R27" s="133"/>
      <c r="S27" s="5"/>
      <c r="T27" s="134"/>
      <c r="U27" s="106"/>
      <c r="V27" s="106"/>
    </row>
    <row r="28" ht="15.75" customHeight="1">
      <c r="A28" s="114">
        <f t="shared" si="1"/>
        <v>6</v>
      </c>
      <c r="B28" s="114">
        <f t="shared" si="2"/>
        <v>10</v>
      </c>
      <c r="C28" s="107" t="s">
        <v>84</v>
      </c>
      <c r="D28" s="115" t="s">
        <v>121</v>
      </c>
      <c r="E28" s="109" t="s">
        <v>322</v>
      </c>
      <c r="F28" s="115" t="s">
        <v>85</v>
      </c>
      <c r="G28" s="115" t="s">
        <v>24</v>
      </c>
      <c r="H28" s="115" t="s">
        <v>21</v>
      </c>
      <c r="I28" s="115" t="s">
        <v>21</v>
      </c>
      <c r="J28" s="115" t="s">
        <v>21</v>
      </c>
      <c r="K28" s="115" t="s">
        <v>37</v>
      </c>
      <c r="L28" s="115" t="s">
        <v>37</v>
      </c>
      <c r="M28" s="115" t="s">
        <v>37</v>
      </c>
      <c r="N28" s="115"/>
      <c r="O28" s="115"/>
      <c r="P28" s="115"/>
      <c r="Q28" s="118">
        <f t="shared" si="3"/>
        <v>0.4285714286</v>
      </c>
      <c r="R28" s="133"/>
      <c r="S28" s="5"/>
      <c r="T28" s="134"/>
      <c r="U28" s="106"/>
      <c r="V28" s="106"/>
    </row>
    <row r="29" ht="15.75" customHeight="1">
      <c r="A29" s="114">
        <f t="shared" si="1"/>
        <v>6</v>
      </c>
      <c r="B29" s="114">
        <f t="shared" si="2"/>
        <v>11</v>
      </c>
      <c r="C29" s="107" t="s">
        <v>79</v>
      </c>
      <c r="D29" s="115" t="s">
        <v>128</v>
      </c>
      <c r="E29" s="109" t="s">
        <v>322</v>
      </c>
      <c r="F29" s="115" t="s">
        <v>85</v>
      </c>
      <c r="G29" s="115" t="s">
        <v>21</v>
      </c>
      <c r="H29" s="115" t="s">
        <v>21</v>
      </c>
      <c r="I29" s="115" t="s">
        <v>21</v>
      </c>
      <c r="J29" s="115" t="s">
        <v>21</v>
      </c>
      <c r="K29" s="115" t="s">
        <v>21</v>
      </c>
      <c r="L29" s="115" t="s">
        <v>21</v>
      </c>
      <c r="M29" s="115" t="s">
        <v>21</v>
      </c>
      <c r="N29" s="115"/>
      <c r="O29" s="115"/>
      <c r="P29" s="115"/>
      <c r="Q29" s="118">
        <f t="shared" si="3"/>
        <v>1</v>
      </c>
      <c r="R29" s="133"/>
      <c r="S29" s="5"/>
      <c r="T29" s="134"/>
      <c r="U29" s="106"/>
      <c r="V29" s="106"/>
    </row>
    <row r="30" ht="15.75" customHeight="1">
      <c r="A30" s="114">
        <f t="shared" si="1"/>
        <v>6</v>
      </c>
      <c r="B30" s="114">
        <f t="shared" si="2"/>
        <v>11</v>
      </c>
      <c r="C30" s="107" t="s">
        <v>79</v>
      </c>
      <c r="D30" s="115" t="s">
        <v>328</v>
      </c>
      <c r="E30" s="109" t="s">
        <v>322</v>
      </c>
      <c r="F30" s="115" t="s">
        <v>85</v>
      </c>
      <c r="G30" s="115" t="s">
        <v>339</v>
      </c>
      <c r="H30" s="115" t="s">
        <v>339</v>
      </c>
      <c r="I30" s="115" t="s">
        <v>339</v>
      </c>
      <c r="J30" s="115" t="s">
        <v>339</v>
      </c>
      <c r="K30" s="115" t="s">
        <v>339</v>
      </c>
      <c r="L30" s="115" t="s">
        <v>339</v>
      </c>
      <c r="M30" s="115" t="s">
        <v>339</v>
      </c>
      <c r="N30" s="115"/>
      <c r="O30" s="115"/>
      <c r="P30" s="115"/>
      <c r="Q30" s="118">
        <f t="shared" si="3"/>
        <v>0</v>
      </c>
      <c r="R30" s="133"/>
      <c r="S30" s="5"/>
      <c r="T30" s="134"/>
      <c r="U30" s="106"/>
      <c r="V30" s="106"/>
    </row>
    <row r="31" ht="15.75" customHeight="1">
      <c r="A31" s="114">
        <f t="shared" si="1"/>
        <v>7</v>
      </c>
      <c r="B31" s="114">
        <f t="shared" si="2"/>
        <v>8</v>
      </c>
      <c r="C31" s="107" t="s">
        <v>54</v>
      </c>
      <c r="D31" s="115" t="s">
        <v>105</v>
      </c>
      <c r="E31" s="109" t="s">
        <v>330</v>
      </c>
      <c r="F31" s="115" t="s">
        <v>51</v>
      </c>
      <c r="G31" s="115" t="s">
        <v>37</v>
      </c>
      <c r="H31" s="115" t="s">
        <v>37</v>
      </c>
      <c r="I31" s="115" t="s">
        <v>37</v>
      </c>
      <c r="J31" s="115" t="s">
        <v>37</v>
      </c>
      <c r="K31" s="115" t="s">
        <v>37</v>
      </c>
      <c r="L31" s="115" t="s">
        <v>37</v>
      </c>
      <c r="M31" s="115" t="s">
        <v>37</v>
      </c>
      <c r="N31" s="115"/>
      <c r="O31" s="115"/>
      <c r="P31" s="115"/>
      <c r="Q31" s="118">
        <f t="shared" si="3"/>
        <v>0</v>
      </c>
      <c r="R31" s="133"/>
      <c r="S31" s="5"/>
      <c r="T31" s="134"/>
      <c r="U31" s="106"/>
      <c r="V31" s="106"/>
    </row>
    <row r="32" ht="15.75" customHeight="1">
      <c r="A32" s="114">
        <f t="shared" si="1"/>
        <v>7</v>
      </c>
      <c r="B32" s="114">
        <f t="shared" si="2"/>
        <v>9</v>
      </c>
      <c r="C32" s="107" t="s">
        <v>64</v>
      </c>
      <c r="D32" s="115" t="s">
        <v>160</v>
      </c>
      <c r="E32" s="109" t="s">
        <v>330</v>
      </c>
      <c r="F32" s="115" t="s">
        <v>57</v>
      </c>
      <c r="G32" s="115" t="s">
        <v>21</v>
      </c>
      <c r="H32" s="115" t="s">
        <v>21</v>
      </c>
      <c r="I32" s="115" t="s">
        <v>21</v>
      </c>
      <c r="J32" s="115" t="s">
        <v>21</v>
      </c>
      <c r="K32" s="115" t="s">
        <v>21</v>
      </c>
      <c r="L32" s="115" t="s">
        <v>24</v>
      </c>
      <c r="M32" s="115" t="s">
        <v>21</v>
      </c>
      <c r="N32" s="115"/>
      <c r="O32" s="115"/>
      <c r="P32" s="115"/>
      <c r="Q32" s="118">
        <f t="shared" si="3"/>
        <v>0.8571428571</v>
      </c>
      <c r="R32" s="133"/>
      <c r="S32" s="5"/>
      <c r="T32" s="134"/>
      <c r="U32" s="106"/>
      <c r="V32" s="106"/>
    </row>
    <row r="33" ht="15.75" customHeight="1">
      <c r="A33" s="114">
        <f t="shared" si="1"/>
        <v>7</v>
      </c>
      <c r="B33" s="114">
        <f t="shared" si="2"/>
        <v>10</v>
      </c>
      <c r="C33" s="107" t="s">
        <v>84</v>
      </c>
      <c r="D33" s="115" t="s">
        <v>218</v>
      </c>
      <c r="E33" s="109" t="s">
        <v>330</v>
      </c>
      <c r="F33" s="115" t="s">
        <v>63</v>
      </c>
      <c r="G33" s="115" t="s">
        <v>21</v>
      </c>
      <c r="H33" s="115" t="s">
        <v>21</v>
      </c>
      <c r="I33" s="115" t="s">
        <v>24</v>
      </c>
      <c r="J33" s="115" t="s">
        <v>21</v>
      </c>
      <c r="K33" s="115" t="s">
        <v>21</v>
      </c>
      <c r="L33" s="115" t="s">
        <v>21</v>
      </c>
      <c r="M33" s="115" t="s">
        <v>21</v>
      </c>
      <c r="N33" s="115"/>
      <c r="O33" s="115"/>
      <c r="P33" s="115"/>
      <c r="Q33" s="118">
        <f t="shared" si="3"/>
        <v>0.8571428571</v>
      </c>
      <c r="R33" s="133"/>
      <c r="S33" s="5"/>
      <c r="T33" s="134"/>
      <c r="U33" s="106"/>
      <c r="V33" s="106"/>
    </row>
    <row r="34" ht="15.75" customHeight="1">
      <c r="A34" s="114">
        <f t="shared" si="1"/>
        <v>7</v>
      </c>
      <c r="B34" s="114">
        <f t="shared" si="2"/>
        <v>11</v>
      </c>
      <c r="C34" s="107" t="s">
        <v>79</v>
      </c>
      <c r="D34" s="115" t="s">
        <v>135</v>
      </c>
      <c r="E34" s="109" t="s">
        <v>330</v>
      </c>
      <c r="F34" s="115" t="s">
        <v>68</v>
      </c>
      <c r="G34" s="115" t="s">
        <v>37</v>
      </c>
      <c r="H34" s="115" t="s">
        <v>37</v>
      </c>
      <c r="I34" s="115" t="s">
        <v>37</v>
      </c>
      <c r="J34" s="115" t="s">
        <v>37</v>
      </c>
      <c r="K34" s="115" t="s">
        <v>37</v>
      </c>
      <c r="L34" s="115" t="s">
        <v>37</v>
      </c>
      <c r="M34" s="115" t="s">
        <v>37</v>
      </c>
      <c r="N34" s="115"/>
      <c r="O34" s="115"/>
      <c r="P34" s="115"/>
      <c r="Q34" s="118">
        <f t="shared" si="3"/>
        <v>0</v>
      </c>
      <c r="R34" s="133"/>
      <c r="S34" s="5"/>
      <c r="T34" s="134"/>
      <c r="U34" s="106"/>
      <c r="V34" s="106"/>
    </row>
    <row r="35" ht="15.75" customHeight="1">
      <c r="A35" s="114">
        <f t="shared" si="1"/>
        <v>7</v>
      </c>
      <c r="B35" s="114">
        <f t="shared" si="2"/>
        <v>11</v>
      </c>
      <c r="C35" s="107" t="s">
        <v>79</v>
      </c>
      <c r="D35" s="115" t="s">
        <v>211</v>
      </c>
      <c r="E35" s="109" t="s">
        <v>330</v>
      </c>
      <c r="F35" s="115" t="s">
        <v>68</v>
      </c>
      <c r="G35" s="115" t="s">
        <v>339</v>
      </c>
      <c r="H35" s="115" t="s">
        <v>339</v>
      </c>
      <c r="I35" s="115" t="s">
        <v>339</v>
      </c>
      <c r="J35" s="115" t="s">
        <v>339</v>
      </c>
      <c r="K35" s="115" t="s">
        <v>339</v>
      </c>
      <c r="L35" s="115" t="s">
        <v>339</v>
      </c>
      <c r="M35" s="115" t="s">
        <v>21</v>
      </c>
      <c r="N35" s="115"/>
      <c r="O35" s="115"/>
      <c r="P35" s="115"/>
      <c r="Q35" s="118">
        <f t="shared" si="3"/>
        <v>0.1428571429</v>
      </c>
      <c r="R35" s="133"/>
      <c r="S35" s="5"/>
      <c r="T35" s="134"/>
      <c r="U35" s="106"/>
      <c r="V35" s="106"/>
    </row>
    <row r="36" ht="15.75" customHeight="1">
      <c r="A36" s="114">
        <f t="shared" si="1"/>
        <v>7</v>
      </c>
      <c r="B36" s="114">
        <f t="shared" si="2"/>
        <v>11</v>
      </c>
      <c r="C36" s="107" t="s">
        <v>79</v>
      </c>
      <c r="D36" s="115" t="s">
        <v>333</v>
      </c>
      <c r="E36" s="109" t="s">
        <v>330</v>
      </c>
      <c r="F36" s="115" t="s">
        <v>68</v>
      </c>
      <c r="G36" s="115" t="s">
        <v>339</v>
      </c>
      <c r="H36" s="115" t="s">
        <v>339</v>
      </c>
      <c r="I36" s="115" t="s">
        <v>339</v>
      </c>
      <c r="J36" s="115" t="s">
        <v>339</v>
      </c>
      <c r="K36" s="115" t="s">
        <v>339</v>
      </c>
      <c r="L36" s="115" t="s">
        <v>339</v>
      </c>
      <c r="M36" s="115" t="s">
        <v>339</v>
      </c>
      <c r="N36" s="115"/>
      <c r="O36" s="115"/>
      <c r="P36" s="115"/>
      <c r="Q36" s="118">
        <f t="shared" si="3"/>
        <v>0</v>
      </c>
      <c r="R36" s="133"/>
      <c r="S36" s="5"/>
      <c r="T36" s="134"/>
      <c r="U36" s="106"/>
      <c r="V36" s="106"/>
    </row>
    <row r="37" ht="15.75" customHeight="1">
      <c r="A37" s="114">
        <f t="shared" si="1"/>
        <v>7</v>
      </c>
      <c r="B37" s="114">
        <f t="shared" si="2"/>
        <v>11</v>
      </c>
      <c r="C37" s="107" t="s">
        <v>79</v>
      </c>
      <c r="D37" s="115" t="s">
        <v>111</v>
      </c>
      <c r="E37" s="109" t="s">
        <v>330</v>
      </c>
      <c r="F37" s="115" t="s">
        <v>85</v>
      </c>
      <c r="G37" s="115" t="s">
        <v>21</v>
      </c>
      <c r="H37" s="115" t="s">
        <v>21</v>
      </c>
      <c r="I37" s="115" t="s">
        <v>24</v>
      </c>
      <c r="J37" s="115" t="s">
        <v>24</v>
      </c>
      <c r="K37" s="115" t="s">
        <v>37</v>
      </c>
      <c r="L37" s="115" t="s">
        <v>37</v>
      </c>
      <c r="M37" s="115" t="s">
        <v>37</v>
      </c>
      <c r="N37" s="115"/>
      <c r="O37" s="115"/>
      <c r="P37" s="115"/>
      <c r="Q37" s="118">
        <f t="shared" si="3"/>
        <v>0.2857142857</v>
      </c>
      <c r="R37" s="133"/>
      <c r="S37" s="5"/>
      <c r="T37" s="134"/>
      <c r="U37" s="106"/>
      <c r="V37" s="106"/>
    </row>
    <row r="38" ht="15.75" customHeight="1">
      <c r="A38" s="114">
        <f t="shared" si="1"/>
        <v>7</v>
      </c>
      <c r="B38" s="114">
        <f t="shared" si="2"/>
        <v>11</v>
      </c>
      <c r="C38" s="107" t="s">
        <v>79</v>
      </c>
      <c r="D38" s="115" t="s">
        <v>55</v>
      </c>
      <c r="E38" s="117" t="s">
        <v>330</v>
      </c>
      <c r="F38" s="115" t="s">
        <v>85</v>
      </c>
      <c r="G38" s="115" t="s">
        <v>339</v>
      </c>
      <c r="H38" s="115" t="s">
        <v>339</v>
      </c>
      <c r="I38" s="115" t="s">
        <v>339</v>
      </c>
      <c r="J38" s="115" t="s">
        <v>339</v>
      </c>
      <c r="K38" s="115" t="s">
        <v>339</v>
      </c>
      <c r="L38" s="115" t="s">
        <v>339</v>
      </c>
      <c r="M38" s="115" t="s">
        <v>24</v>
      </c>
      <c r="N38" s="115"/>
      <c r="O38" s="115"/>
      <c r="P38" s="115"/>
      <c r="Q38" s="118">
        <f t="shared" si="3"/>
        <v>0</v>
      </c>
      <c r="R38" s="133"/>
      <c r="S38" s="5"/>
      <c r="T38" s="134"/>
      <c r="U38" s="106"/>
      <c r="V38" s="106"/>
    </row>
    <row r="39" ht="15.75" customHeight="1">
      <c r="A39" s="114">
        <f t="shared" si="1"/>
        <v>8</v>
      </c>
      <c r="B39" s="114">
        <f t="shared" si="2"/>
        <v>6</v>
      </c>
      <c r="C39" s="107" t="s">
        <v>113</v>
      </c>
      <c r="D39" s="115" t="s">
        <v>169</v>
      </c>
      <c r="E39" s="109" t="s">
        <v>335</v>
      </c>
      <c r="F39" s="115" t="s">
        <v>336</v>
      </c>
      <c r="G39" s="115" t="s">
        <v>21</v>
      </c>
      <c r="H39" s="115" t="s">
        <v>21</v>
      </c>
      <c r="I39" s="115" t="s">
        <v>24</v>
      </c>
      <c r="J39" s="115" t="s">
        <v>21</v>
      </c>
      <c r="K39" s="115" t="s">
        <v>24</v>
      </c>
      <c r="L39" s="115" t="s">
        <v>24</v>
      </c>
      <c r="M39" s="115" t="s">
        <v>24</v>
      </c>
      <c r="N39" s="115"/>
      <c r="O39" s="115"/>
      <c r="P39" s="115"/>
      <c r="Q39" s="118">
        <f t="shared" si="3"/>
        <v>0.4285714286</v>
      </c>
      <c r="R39" s="133"/>
      <c r="S39" s="5"/>
      <c r="T39" s="134"/>
      <c r="U39" s="106"/>
      <c r="V39" s="106"/>
    </row>
    <row r="40" ht="15.75" customHeight="1">
      <c r="A40" s="114">
        <f t="shared" si="1"/>
        <v>9</v>
      </c>
      <c r="B40" s="114">
        <f t="shared" si="2"/>
        <v>7</v>
      </c>
      <c r="C40" s="107" t="s">
        <v>46</v>
      </c>
      <c r="D40" s="115" t="s">
        <v>173</v>
      </c>
      <c r="E40" s="109" t="s">
        <v>158</v>
      </c>
      <c r="F40" s="115" t="s">
        <v>51</v>
      </c>
      <c r="G40" s="115" t="s">
        <v>37</v>
      </c>
      <c r="H40" s="115" t="s">
        <v>37</v>
      </c>
      <c r="I40" s="115" t="s">
        <v>37</v>
      </c>
      <c r="J40" s="115" t="s">
        <v>33</v>
      </c>
      <c r="K40" s="115" t="s">
        <v>21</v>
      </c>
      <c r="L40" s="115" t="s">
        <v>24</v>
      </c>
      <c r="M40" s="115" t="s">
        <v>21</v>
      </c>
      <c r="N40" s="115"/>
      <c r="O40" s="115"/>
      <c r="P40" s="115"/>
      <c r="Q40" s="118">
        <f t="shared" si="3"/>
        <v>0.2857142857</v>
      </c>
      <c r="R40" s="133"/>
      <c r="S40" s="5"/>
      <c r="T40" s="134"/>
      <c r="U40" s="106"/>
      <c r="V40" s="106"/>
    </row>
    <row r="41" ht="15.75" customHeight="1">
      <c r="A41" s="114">
        <f t="shared" si="1"/>
        <v>9</v>
      </c>
      <c r="B41" s="114">
        <f t="shared" si="2"/>
        <v>8</v>
      </c>
      <c r="C41" s="107" t="s">
        <v>54</v>
      </c>
      <c r="D41" s="115" t="s">
        <v>157</v>
      </c>
      <c r="E41" s="109" t="s">
        <v>158</v>
      </c>
      <c r="F41" s="115" t="s">
        <v>57</v>
      </c>
      <c r="G41" s="115" t="s">
        <v>21</v>
      </c>
      <c r="H41" s="115" t="s">
        <v>21</v>
      </c>
      <c r="I41" s="115" t="s">
        <v>21</v>
      </c>
      <c r="J41" s="115" t="s">
        <v>21</v>
      </c>
      <c r="K41" s="115" t="s">
        <v>21</v>
      </c>
      <c r="L41" s="115" t="s">
        <v>21</v>
      </c>
      <c r="M41" s="115" t="s">
        <v>21</v>
      </c>
      <c r="N41" s="115"/>
      <c r="O41" s="115"/>
      <c r="P41" s="115"/>
      <c r="Q41" s="118">
        <f t="shared" si="3"/>
        <v>1</v>
      </c>
      <c r="R41" s="133"/>
      <c r="S41" s="5"/>
      <c r="T41" s="134"/>
      <c r="U41" s="106"/>
      <c r="V41" s="106"/>
    </row>
    <row r="42" ht="15.75" customHeight="1">
      <c r="A42" s="114">
        <f t="shared" si="1"/>
        <v>9</v>
      </c>
      <c r="B42" s="114">
        <f t="shared" si="2"/>
        <v>9</v>
      </c>
      <c r="C42" s="107" t="s">
        <v>64</v>
      </c>
      <c r="D42" s="115" t="s">
        <v>337</v>
      </c>
      <c r="E42" s="109" t="s">
        <v>158</v>
      </c>
      <c r="F42" s="115" t="s">
        <v>63</v>
      </c>
      <c r="G42" s="115" t="s">
        <v>24</v>
      </c>
      <c r="H42" s="115" t="s">
        <v>21</v>
      </c>
      <c r="I42" s="115" t="s">
        <v>21</v>
      </c>
      <c r="J42" s="115" t="s">
        <v>24</v>
      </c>
      <c r="K42" s="115" t="s">
        <v>21</v>
      </c>
      <c r="L42" s="115" t="s">
        <v>21</v>
      </c>
      <c r="M42" s="115" t="s">
        <v>21</v>
      </c>
      <c r="N42" s="115"/>
      <c r="O42" s="115"/>
      <c r="P42" s="115"/>
      <c r="Q42" s="118">
        <f t="shared" si="3"/>
        <v>0.7142857143</v>
      </c>
      <c r="R42" s="133"/>
      <c r="S42" s="5"/>
      <c r="T42" s="134"/>
      <c r="U42" s="106"/>
      <c r="V42" s="106"/>
    </row>
    <row r="43" ht="15.75" customHeight="1">
      <c r="A43" s="114">
        <f t="shared" si="1"/>
        <v>9</v>
      </c>
      <c r="B43" s="114">
        <f t="shared" si="2"/>
        <v>8</v>
      </c>
      <c r="C43" s="107" t="s">
        <v>54</v>
      </c>
      <c r="D43" s="115" t="s">
        <v>162</v>
      </c>
      <c r="E43" s="109" t="s">
        <v>158</v>
      </c>
      <c r="F43" s="115" t="s">
        <v>68</v>
      </c>
      <c r="G43" s="115" t="s">
        <v>21</v>
      </c>
      <c r="H43" s="115" t="s">
        <v>24</v>
      </c>
      <c r="I43" s="115" t="s">
        <v>24</v>
      </c>
      <c r="J43" s="115" t="s">
        <v>24</v>
      </c>
      <c r="K43" s="115" t="s">
        <v>33</v>
      </c>
      <c r="L43" s="115" t="s">
        <v>24</v>
      </c>
      <c r="M43" s="115" t="s">
        <v>24</v>
      </c>
      <c r="N43" s="115"/>
      <c r="O43" s="115"/>
      <c r="P43" s="115"/>
      <c r="Q43" s="118">
        <f t="shared" si="3"/>
        <v>0.1428571429</v>
      </c>
      <c r="R43" s="133"/>
      <c r="S43" s="5"/>
      <c r="T43" s="134"/>
      <c r="U43" s="106"/>
      <c r="V43" s="106"/>
    </row>
    <row r="44" ht="15.75" customHeight="1">
      <c r="A44" s="114">
        <f t="shared" si="1"/>
        <v>9</v>
      </c>
      <c r="B44" s="114">
        <f t="shared" si="2"/>
        <v>10</v>
      </c>
      <c r="C44" s="107" t="s">
        <v>84</v>
      </c>
      <c r="D44" s="115" t="s">
        <v>208</v>
      </c>
      <c r="E44" s="109" t="s">
        <v>158</v>
      </c>
      <c r="F44" s="115" t="s">
        <v>68</v>
      </c>
      <c r="G44" s="115" t="s">
        <v>24</v>
      </c>
      <c r="H44" s="115" t="s">
        <v>21</v>
      </c>
      <c r="I44" s="115" t="s">
        <v>21</v>
      </c>
      <c r="J44" s="115" t="s">
        <v>24</v>
      </c>
      <c r="K44" s="115" t="s">
        <v>33</v>
      </c>
      <c r="L44" s="115" t="s">
        <v>33</v>
      </c>
      <c r="M44" s="115" t="s">
        <v>21</v>
      </c>
      <c r="N44" s="115"/>
      <c r="O44" s="115"/>
      <c r="P44" s="115"/>
      <c r="Q44" s="118">
        <f t="shared" si="3"/>
        <v>0.4285714286</v>
      </c>
      <c r="R44" s="133"/>
      <c r="S44" s="5"/>
      <c r="T44" s="134"/>
      <c r="U44" s="106"/>
      <c r="V44" s="106"/>
    </row>
    <row r="45" ht="15.75" customHeight="1">
      <c r="A45" s="114">
        <f t="shared" si="1"/>
        <v>9</v>
      </c>
      <c r="B45" s="114">
        <f t="shared" si="2"/>
        <v>9</v>
      </c>
      <c r="C45" s="107" t="s">
        <v>64</v>
      </c>
      <c r="D45" s="115" t="s">
        <v>175</v>
      </c>
      <c r="E45" s="109" t="s">
        <v>158</v>
      </c>
      <c r="F45" s="115" t="s">
        <v>85</v>
      </c>
      <c r="G45" s="115" t="s">
        <v>37</v>
      </c>
      <c r="H45" s="115" t="s">
        <v>37</v>
      </c>
      <c r="I45" s="115" t="s">
        <v>37</v>
      </c>
      <c r="J45" s="115" t="s">
        <v>37</v>
      </c>
      <c r="K45" s="115" t="s">
        <v>37</v>
      </c>
      <c r="L45" s="115" t="s">
        <v>37</v>
      </c>
      <c r="M45" s="115" t="s">
        <v>37</v>
      </c>
      <c r="N45" s="115"/>
      <c r="O45" s="115"/>
      <c r="P45" s="115"/>
      <c r="Q45" s="118">
        <f t="shared" si="3"/>
        <v>0</v>
      </c>
      <c r="R45" s="133"/>
      <c r="S45" s="5"/>
      <c r="T45" s="134"/>
      <c r="U45" s="106"/>
      <c r="V45" s="106"/>
    </row>
    <row r="46" ht="15.75" customHeight="1">
      <c r="A46" s="114">
        <f t="shared" si="1"/>
        <v>11</v>
      </c>
      <c r="B46" s="114">
        <f t="shared" si="2"/>
        <v>7</v>
      </c>
      <c r="C46" s="107" t="s">
        <v>46</v>
      </c>
      <c r="D46" s="115" t="s">
        <v>180</v>
      </c>
      <c r="E46" s="109" t="s">
        <v>89</v>
      </c>
      <c r="F46" s="115"/>
      <c r="G46" s="115" t="s">
        <v>37</v>
      </c>
      <c r="H46" s="115" t="s">
        <v>37</v>
      </c>
      <c r="I46" s="115" t="s">
        <v>37</v>
      </c>
      <c r="J46" s="115" t="s">
        <v>37</v>
      </c>
      <c r="K46" s="115" t="s">
        <v>37</v>
      </c>
      <c r="L46" s="115" t="s">
        <v>37</v>
      </c>
      <c r="M46" s="115" t="s">
        <v>37</v>
      </c>
      <c r="N46" s="115"/>
      <c r="O46" s="115"/>
      <c r="P46" s="115"/>
      <c r="Q46" s="118">
        <f t="shared" si="3"/>
        <v>0</v>
      </c>
      <c r="R46" s="133"/>
      <c r="S46" s="5"/>
      <c r="T46" s="134"/>
      <c r="U46" s="106"/>
      <c r="V46" s="106"/>
    </row>
    <row r="47" ht="15.75" customHeight="1">
      <c r="A47" s="114">
        <f t="shared" si="1"/>
        <v>11</v>
      </c>
      <c r="B47" s="114">
        <f t="shared" si="2"/>
        <v>7</v>
      </c>
      <c r="C47" s="107" t="s">
        <v>46</v>
      </c>
      <c r="D47" s="115" t="s">
        <v>185</v>
      </c>
      <c r="E47" s="109" t="s">
        <v>89</v>
      </c>
      <c r="F47" s="115"/>
      <c r="G47" s="115" t="s">
        <v>21</v>
      </c>
      <c r="H47" s="115" t="s">
        <v>21</v>
      </c>
      <c r="I47" s="115" t="s">
        <v>21</v>
      </c>
      <c r="J47" s="115" t="s">
        <v>21</v>
      </c>
      <c r="K47" s="115" t="s">
        <v>21</v>
      </c>
      <c r="L47" s="115" t="s">
        <v>21</v>
      </c>
      <c r="M47" s="115" t="s">
        <v>21</v>
      </c>
      <c r="N47" s="115"/>
      <c r="O47" s="115"/>
      <c r="P47" s="115"/>
      <c r="Q47" s="118">
        <f t="shared" si="3"/>
        <v>1</v>
      </c>
      <c r="R47" s="133"/>
      <c r="S47" s="5"/>
      <c r="T47" s="134"/>
      <c r="U47" s="106"/>
      <c r="V47" s="106"/>
    </row>
    <row r="48" ht="15.75" customHeight="1">
      <c r="A48" s="114">
        <f t="shared" si="1"/>
        <v>11</v>
      </c>
      <c r="B48" s="114">
        <f t="shared" si="2"/>
        <v>9</v>
      </c>
      <c r="C48" s="107" t="s">
        <v>64</v>
      </c>
      <c r="D48" s="115" t="s">
        <v>187</v>
      </c>
      <c r="E48" s="109" t="s">
        <v>89</v>
      </c>
      <c r="F48" s="115"/>
      <c r="G48" s="115" t="s">
        <v>24</v>
      </c>
      <c r="H48" s="115" t="s">
        <v>21</v>
      </c>
      <c r="I48" s="115" t="s">
        <v>24</v>
      </c>
      <c r="J48" s="115" t="s">
        <v>21</v>
      </c>
      <c r="K48" s="115" t="s">
        <v>24</v>
      </c>
      <c r="L48" s="115" t="s">
        <v>21</v>
      </c>
      <c r="M48" s="115" t="s">
        <v>24</v>
      </c>
      <c r="N48" s="115"/>
      <c r="O48" s="115"/>
      <c r="P48" s="115"/>
      <c r="Q48" s="118">
        <f t="shared" si="3"/>
        <v>0.4285714286</v>
      </c>
      <c r="R48" s="133"/>
      <c r="S48" s="5"/>
      <c r="T48" s="134"/>
      <c r="U48" s="106"/>
      <c r="V48" s="106"/>
    </row>
    <row r="49" ht="15.75" customHeight="1">
      <c r="A49" s="114">
        <f t="shared" si="1"/>
        <v>12</v>
      </c>
      <c r="B49" s="114">
        <f t="shared" si="2"/>
        <v>8</v>
      </c>
      <c r="C49" s="107" t="s">
        <v>54</v>
      </c>
      <c r="D49" s="115" t="s">
        <v>196</v>
      </c>
      <c r="E49" s="109" t="s">
        <v>92</v>
      </c>
      <c r="F49" s="115" t="s">
        <v>267</v>
      </c>
      <c r="G49" s="115" t="s">
        <v>21</v>
      </c>
      <c r="H49" s="115" t="s">
        <v>21</v>
      </c>
      <c r="I49" s="115" t="s">
        <v>21</v>
      </c>
      <c r="J49" s="115" t="s">
        <v>21</v>
      </c>
      <c r="K49" s="115" t="s">
        <v>21</v>
      </c>
      <c r="L49" s="115" t="s">
        <v>21</v>
      </c>
      <c r="M49" s="115" t="s">
        <v>21</v>
      </c>
      <c r="N49" s="115"/>
      <c r="O49" s="115"/>
      <c r="P49" s="115"/>
      <c r="Q49" s="118">
        <f t="shared" si="3"/>
        <v>1</v>
      </c>
      <c r="R49" s="133"/>
      <c r="S49" s="5"/>
      <c r="T49" s="134"/>
      <c r="U49" s="106"/>
      <c r="V49" s="106"/>
    </row>
    <row r="50" ht="15.75" customHeight="1">
      <c r="A50" s="114">
        <f t="shared" si="1"/>
        <v>12</v>
      </c>
      <c r="B50" s="114">
        <f t="shared" si="2"/>
        <v>8</v>
      </c>
      <c r="C50" s="107" t="s">
        <v>54</v>
      </c>
      <c r="D50" s="115" t="s">
        <v>193</v>
      </c>
      <c r="E50" s="109" t="s">
        <v>92</v>
      </c>
      <c r="F50" s="115" t="s">
        <v>268</v>
      </c>
      <c r="G50" s="115" t="s">
        <v>24</v>
      </c>
      <c r="H50" s="115" t="s">
        <v>21</v>
      </c>
      <c r="I50" s="115" t="s">
        <v>37</v>
      </c>
      <c r="J50" s="115" t="s">
        <v>37</v>
      </c>
      <c r="K50" s="115" t="s">
        <v>37</v>
      </c>
      <c r="L50" s="115" t="s">
        <v>37</v>
      </c>
      <c r="M50" s="115" t="s">
        <v>37</v>
      </c>
      <c r="N50" s="115"/>
      <c r="O50" s="115"/>
      <c r="P50" s="115"/>
      <c r="Q50" s="118">
        <f t="shared" si="3"/>
        <v>0.1428571429</v>
      </c>
      <c r="R50" s="133"/>
      <c r="S50" s="5"/>
      <c r="T50" s="134"/>
      <c r="U50" s="106"/>
      <c r="V50" s="106"/>
    </row>
    <row r="51" ht="15.75" customHeight="1">
      <c r="A51" s="114">
        <f t="shared" si="1"/>
        <v>12</v>
      </c>
      <c r="B51" s="114">
        <f t="shared" si="2"/>
        <v>8</v>
      </c>
      <c r="C51" s="107" t="s">
        <v>54</v>
      </c>
      <c r="D51" s="115" t="s">
        <v>190</v>
      </c>
      <c r="E51" s="109" t="s">
        <v>92</v>
      </c>
      <c r="F51" s="115"/>
      <c r="G51" s="115" t="s">
        <v>24</v>
      </c>
      <c r="H51" s="115" t="s">
        <v>21</v>
      </c>
      <c r="I51" s="115" t="s">
        <v>21</v>
      </c>
      <c r="J51" s="115" t="s">
        <v>21</v>
      </c>
      <c r="K51" s="115" t="s">
        <v>21</v>
      </c>
      <c r="L51" s="115" t="s">
        <v>21</v>
      </c>
      <c r="M51" s="115" t="s">
        <v>21</v>
      </c>
      <c r="N51" s="115"/>
      <c r="O51" s="115"/>
      <c r="P51" s="115"/>
      <c r="Q51" s="118">
        <f t="shared" si="3"/>
        <v>0.8571428571</v>
      </c>
      <c r="R51" s="133"/>
      <c r="S51" s="5"/>
      <c r="T51" s="134"/>
      <c r="U51" s="106"/>
      <c r="V51" s="106"/>
    </row>
    <row r="52" ht="15.75" customHeight="1">
      <c r="A52" s="114">
        <f t="shared" si="1"/>
        <v>12</v>
      </c>
      <c r="B52" s="114">
        <f t="shared" si="2"/>
        <v>9</v>
      </c>
      <c r="C52" s="107" t="s">
        <v>64</v>
      </c>
      <c r="D52" s="115" t="s">
        <v>188</v>
      </c>
      <c r="E52" s="109" t="s">
        <v>92</v>
      </c>
      <c r="F52" s="115"/>
      <c r="G52" s="115" t="s">
        <v>21</v>
      </c>
      <c r="H52" s="115" t="s">
        <v>21</v>
      </c>
      <c r="I52" s="115" t="s">
        <v>21</v>
      </c>
      <c r="J52" s="115" t="s">
        <v>21</v>
      </c>
      <c r="K52" s="115" t="s">
        <v>21</v>
      </c>
      <c r="L52" s="115" t="s">
        <v>21</v>
      </c>
      <c r="M52" s="115" t="s">
        <v>21</v>
      </c>
      <c r="N52" s="115"/>
      <c r="O52" s="115"/>
      <c r="P52" s="115"/>
      <c r="Q52" s="118">
        <f t="shared" si="3"/>
        <v>1</v>
      </c>
      <c r="R52" s="133"/>
      <c r="S52" s="5"/>
      <c r="T52" s="134"/>
      <c r="U52" s="106"/>
      <c r="V52" s="106"/>
    </row>
    <row r="53" ht="15.75" customHeight="1">
      <c r="A53" s="114">
        <f t="shared" si="1"/>
        <v>12</v>
      </c>
      <c r="B53" s="114">
        <f t="shared" si="2"/>
        <v>10</v>
      </c>
      <c r="C53" s="107" t="s">
        <v>84</v>
      </c>
      <c r="D53" s="115" t="s">
        <v>297</v>
      </c>
      <c r="E53" s="109" t="s">
        <v>92</v>
      </c>
      <c r="F53" s="115"/>
      <c r="G53" s="115" t="s">
        <v>24</v>
      </c>
      <c r="H53" s="115" t="s">
        <v>21</v>
      </c>
      <c r="I53" s="115" t="s">
        <v>24</v>
      </c>
      <c r="J53" s="115" t="s">
        <v>24</v>
      </c>
      <c r="K53" s="115" t="s">
        <v>24</v>
      </c>
      <c r="L53" s="115" t="s">
        <v>24</v>
      </c>
      <c r="M53" s="115" t="s">
        <v>21</v>
      </c>
      <c r="N53" s="115"/>
      <c r="O53" s="115"/>
      <c r="P53" s="115"/>
      <c r="Q53" s="118">
        <f t="shared" si="3"/>
        <v>0.2857142857</v>
      </c>
      <c r="R53" s="133"/>
      <c r="S53" s="5"/>
      <c r="T53" s="134"/>
      <c r="U53" s="106"/>
      <c r="V53" s="106"/>
    </row>
    <row r="54" ht="15.75" customHeight="1">
      <c r="A54" s="114">
        <f t="shared" si="1"/>
        <v>13</v>
      </c>
      <c r="B54" s="114">
        <f t="shared" si="2"/>
        <v>9</v>
      </c>
      <c r="C54" s="107" t="s">
        <v>64</v>
      </c>
      <c r="D54" s="115" t="s">
        <v>242</v>
      </c>
      <c r="E54" s="117" t="s">
        <v>95</v>
      </c>
      <c r="F54" s="115" t="s">
        <v>171</v>
      </c>
      <c r="G54" s="115" t="s">
        <v>21</v>
      </c>
      <c r="H54" s="115" t="s">
        <v>24</v>
      </c>
      <c r="I54" s="115" t="s">
        <v>21</v>
      </c>
      <c r="J54" s="115" t="s">
        <v>21</v>
      </c>
      <c r="K54" s="115" t="s">
        <v>21</v>
      </c>
      <c r="L54" s="115" t="s">
        <v>21</v>
      </c>
      <c r="M54" s="115" t="s">
        <v>21</v>
      </c>
      <c r="N54" s="115"/>
      <c r="O54" s="115"/>
      <c r="P54" s="115"/>
      <c r="Q54" s="118">
        <f t="shared" si="3"/>
        <v>0.8571428571</v>
      </c>
      <c r="R54" s="133"/>
      <c r="S54" s="5"/>
      <c r="T54" s="134"/>
      <c r="U54" s="106"/>
      <c r="V54" s="106"/>
    </row>
    <row r="55" ht="15.75" customHeight="1">
      <c r="A55" s="114">
        <f t="shared" si="1"/>
        <v>13</v>
      </c>
      <c r="B55" s="114">
        <f t="shared" si="2"/>
        <v>9</v>
      </c>
      <c r="C55" s="107" t="s">
        <v>64</v>
      </c>
      <c r="D55" s="115" t="s">
        <v>215</v>
      </c>
      <c r="E55" s="117" t="s">
        <v>95</v>
      </c>
      <c r="F55" s="115"/>
      <c r="G55" s="115" t="s">
        <v>24</v>
      </c>
      <c r="H55" s="115" t="s">
        <v>33</v>
      </c>
      <c r="I55" s="115" t="s">
        <v>21</v>
      </c>
      <c r="J55" s="115" t="s">
        <v>21</v>
      </c>
      <c r="K55" s="115" t="s">
        <v>33</v>
      </c>
      <c r="L55" s="115" t="s">
        <v>24</v>
      </c>
      <c r="M55" s="115" t="s">
        <v>21</v>
      </c>
      <c r="N55" s="115"/>
      <c r="O55" s="115"/>
      <c r="P55" s="115"/>
      <c r="Q55" s="118">
        <f t="shared" si="3"/>
        <v>0.4285714286</v>
      </c>
      <c r="R55" s="133"/>
      <c r="S55" s="5"/>
      <c r="T55" s="134"/>
      <c r="U55" s="106"/>
      <c r="V55" s="106"/>
    </row>
    <row r="56" ht="15.75" customHeight="1">
      <c r="A56" s="114">
        <f t="shared" si="1"/>
        <v>13</v>
      </c>
      <c r="B56" s="114">
        <f t="shared" si="2"/>
        <v>10</v>
      </c>
      <c r="C56" s="107" t="s">
        <v>84</v>
      </c>
      <c r="D56" s="115" t="s">
        <v>75</v>
      </c>
      <c r="E56" s="109" t="s">
        <v>95</v>
      </c>
      <c r="F56" s="115"/>
      <c r="G56" s="115" t="s">
        <v>21</v>
      </c>
      <c r="H56" s="115" t="s">
        <v>24</v>
      </c>
      <c r="I56" s="115" t="s">
        <v>21</v>
      </c>
      <c r="J56" s="115" t="s">
        <v>21</v>
      </c>
      <c r="K56" s="115" t="s">
        <v>21</v>
      </c>
      <c r="L56" s="115" t="s">
        <v>21</v>
      </c>
      <c r="M56" s="115" t="s">
        <v>21</v>
      </c>
      <c r="N56" s="115"/>
      <c r="O56" s="115"/>
      <c r="P56" s="115"/>
      <c r="Q56" s="118">
        <f t="shared" si="3"/>
        <v>0.8571428571</v>
      </c>
      <c r="R56" s="133"/>
      <c r="S56" s="5"/>
      <c r="T56" s="134"/>
      <c r="U56" s="106"/>
      <c r="V56" s="106"/>
    </row>
    <row r="57" ht="15.75" customHeight="1">
      <c r="A57" s="114">
        <f t="shared" si="1"/>
        <v>15</v>
      </c>
      <c r="B57" s="114">
        <f t="shared" si="2"/>
        <v>6</v>
      </c>
      <c r="C57" s="153" t="s">
        <v>113</v>
      </c>
      <c r="D57" s="114" t="s">
        <v>298</v>
      </c>
      <c r="E57" s="109" t="s">
        <v>101</v>
      </c>
      <c r="F57" s="115" t="s">
        <v>101</v>
      </c>
      <c r="G57" s="115" t="s">
        <v>30</v>
      </c>
      <c r="H57" s="115" t="s">
        <v>30</v>
      </c>
      <c r="I57" s="115" t="s">
        <v>30</v>
      </c>
      <c r="J57" s="115" t="s">
        <v>30</v>
      </c>
      <c r="K57" s="115" t="s">
        <v>30</v>
      </c>
      <c r="L57" s="115" t="s">
        <v>30</v>
      </c>
      <c r="M57" s="115" t="s">
        <v>30</v>
      </c>
      <c r="N57" s="115"/>
      <c r="O57" s="115"/>
      <c r="P57" s="115"/>
      <c r="Q57" s="118">
        <f t="shared" si="3"/>
        <v>0</v>
      </c>
      <c r="R57" s="133"/>
      <c r="S57" s="5"/>
      <c r="T57" s="134"/>
      <c r="U57" s="106"/>
      <c r="V57" s="106"/>
    </row>
    <row r="58" ht="15.75" customHeight="1">
      <c r="A58" s="114">
        <f t="shared" si="1"/>
        <v>15</v>
      </c>
      <c r="B58" s="114">
        <f t="shared" si="2"/>
        <v>7</v>
      </c>
      <c r="C58" s="153" t="s">
        <v>46</v>
      </c>
      <c r="D58" s="115" t="s">
        <v>272</v>
      </c>
      <c r="E58" s="109" t="s">
        <v>101</v>
      </c>
      <c r="F58" s="115" t="s">
        <v>101</v>
      </c>
      <c r="G58" s="115" t="s">
        <v>30</v>
      </c>
      <c r="H58" s="115" t="s">
        <v>30</v>
      </c>
      <c r="I58" s="115" t="s">
        <v>30</v>
      </c>
      <c r="J58" s="115" t="s">
        <v>30</v>
      </c>
      <c r="K58" s="115" t="s">
        <v>30</v>
      </c>
      <c r="L58" s="115" t="s">
        <v>30</v>
      </c>
      <c r="M58" s="115" t="s">
        <v>30</v>
      </c>
      <c r="N58" s="115"/>
      <c r="O58" s="115"/>
      <c r="P58" s="115"/>
      <c r="Q58" s="118">
        <f t="shared" si="3"/>
        <v>0</v>
      </c>
      <c r="R58" s="133"/>
      <c r="S58" s="5"/>
      <c r="T58" s="134"/>
      <c r="U58" s="106"/>
      <c r="V58" s="106"/>
    </row>
    <row r="59" ht="15.75" customHeight="1">
      <c r="A59" s="114">
        <f t="shared" si="1"/>
        <v>15</v>
      </c>
      <c r="B59" s="114">
        <f t="shared" si="2"/>
        <v>8</v>
      </c>
      <c r="C59" s="107" t="s">
        <v>54</v>
      </c>
      <c r="D59" s="115" t="s">
        <v>340</v>
      </c>
      <c r="E59" s="109" t="s">
        <v>101</v>
      </c>
      <c r="F59" s="115" t="s">
        <v>101</v>
      </c>
      <c r="G59" s="115" t="s">
        <v>21</v>
      </c>
      <c r="H59" s="115" t="s">
        <v>30</v>
      </c>
      <c r="I59" s="115" t="s">
        <v>30</v>
      </c>
      <c r="J59" s="115" t="s">
        <v>30</v>
      </c>
      <c r="K59" s="115" t="s">
        <v>21</v>
      </c>
      <c r="L59" s="115" t="s">
        <v>30</v>
      </c>
      <c r="M59" s="115" t="s">
        <v>30</v>
      </c>
      <c r="N59" s="115"/>
      <c r="O59" s="115"/>
      <c r="P59" s="115"/>
      <c r="Q59" s="118">
        <f t="shared" si="3"/>
        <v>0.2857142857</v>
      </c>
      <c r="R59" s="133"/>
      <c r="S59" s="5"/>
      <c r="T59" s="134"/>
      <c r="U59" s="106"/>
      <c r="V59" s="106"/>
    </row>
    <row r="60" ht="15.75" customHeight="1">
      <c r="A60" s="114">
        <f t="shared" si="1"/>
        <v>15</v>
      </c>
      <c r="B60" s="114">
        <f t="shared" si="2"/>
        <v>9</v>
      </c>
      <c r="C60" s="107" t="s">
        <v>64</v>
      </c>
      <c r="D60" s="115" t="s">
        <v>107</v>
      </c>
      <c r="E60" s="109" t="s">
        <v>101</v>
      </c>
      <c r="F60" s="115" t="s">
        <v>101</v>
      </c>
      <c r="G60" s="115" t="s">
        <v>30</v>
      </c>
      <c r="H60" s="115" t="s">
        <v>30</v>
      </c>
      <c r="I60" s="115" t="s">
        <v>30</v>
      </c>
      <c r="J60" s="115" t="s">
        <v>30</v>
      </c>
      <c r="K60" s="115" t="s">
        <v>30</v>
      </c>
      <c r="L60" s="115" t="s">
        <v>30</v>
      </c>
      <c r="M60" s="115" t="s">
        <v>30</v>
      </c>
      <c r="N60" s="115"/>
      <c r="O60" s="115"/>
      <c r="P60" s="115"/>
      <c r="Q60" s="118">
        <f t="shared" si="3"/>
        <v>0</v>
      </c>
      <c r="R60" s="133"/>
      <c r="S60" s="5"/>
      <c r="T60" s="134"/>
      <c r="U60" s="106"/>
      <c r="V60" s="106"/>
    </row>
    <row r="61" ht="15.75" customHeight="1">
      <c r="A61" s="114">
        <f t="shared" si="1"/>
        <v>15</v>
      </c>
      <c r="B61" s="114">
        <f t="shared" si="2"/>
        <v>9</v>
      </c>
      <c r="C61" s="107" t="s">
        <v>64</v>
      </c>
      <c r="D61" s="115" t="s">
        <v>365</v>
      </c>
      <c r="E61" s="109" t="s">
        <v>101</v>
      </c>
      <c r="F61" s="115" t="s">
        <v>101</v>
      </c>
      <c r="G61" s="115" t="s">
        <v>30</v>
      </c>
      <c r="H61" s="115" t="s">
        <v>30</v>
      </c>
      <c r="I61" s="115" t="s">
        <v>30</v>
      </c>
      <c r="J61" s="115" t="s">
        <v>30</v>
      </c>
      <c r="K61" s="115" t="s">
        <v>30</v>
      </c>
      <c r="L61" s="115" t="s">
        <v>30</v>
      </c>
      <c r="M61" s="115" t="s">
        <v>30</v>
      </c>
      <c r="N61" s="115"/>
      <c r="O61" s="115"/>
      <c r="P61" s="115"/>
      <c r="Q61" s="118">
        <f t="shared" si="3"/>
        <v>0</v>
      </c>
      <c r="R61" s="133"/>
      <c r="S61" s="5"/>
      <c r="T61" s="134"/>
      <c r="U61" s="106"/>
      <c r="V61" s="106"/>
    </row>
    <row r="62" ht="15.75" customHeight="1">
      <c r="A62" s="114">
        <f t="shared" si="1"/>
        <v>15</v>
      </c>
      <c r="B62" s="114">
        <f t="shared" si="2"/>
        <v>9</v>
      </c>
      <c r="C62" s="107" t="s">
        <v>64</v>
      </c>
      <c r="D62" s="115" t="s">
        <v>138</v>
      </c>
      <c r="E62" s="109" t="s">
        <v>101</v>
      </c>
      <c r="F62" s="115" t="s">
        <v>101</v>
      </c>
      <c r="G62" s="115" t="s">
        <v>30</v>
      </c>
      <c r="H62" s="115" t="s">
        <v>30</v>
      </c>
      <c r="I62" s="115" t="s">
        <v>30</v>
      </c>
      <c r="J62" s="115" t="s">
        <v>30</v>
      </c>
      <c r="K62" s="115" t="s">
        <v>30</v>
      </c>
      <c r="L62" s="115" t="s">
        <v>30</v>
      </c>
      <c r="M62" s="115" t="s">
        <v>30</v>
      </c>
      <c r="N62" s="115"/>
      <c r="O62" s="115"/>
      <c r="P62" s="115"/>
      <c r="Q62" s="118">
        <f t="shared" si="3"/>
        <v>0</v>
      </c>
      <c r="R62" s="133"/>
      <c r="S62" s="5"/>
      <c r="T62" s="134"/>
      <c r="U62" s="106"/>
      <c r="V62" s="106"/>
    </row>
    <row r="63" ht="15.75" customHeight="1">
      <c r="A63" s="114">
        <f t="shared" si="1"/>
        <v>15</v>
      </c>
      <c r="B63" s="114">
        <f t="shared" si="2"/>
        <v>10</v>
      </c>
      <c r="C63" s="107" t="s">
        <v>84</v>
      </c>
      <c r="D63" s="115" t="s">
        <v>302</v>
      </c>
      <c r="E63" s="109" t="s">
        <v>101</v>
      </c>
      <c r="F63" s="115" t="s">
        <v>101</v>
      </c>
      <c r="G63" s="115" t="s">
        <v>30</v>
      </c>
      <c r="H63" s="115" t="s">
        <v>30</v>
      </c>
      <c r="I63" s="115" t="s">
        <v>30</v>
      </c>
      <c r="J63" s="115" t="s">
        <v>30</v>
      </c>
      <c r="K63" s="115" t="s">
        <v>30</v>
      </c>
      <c r="L63" s="106" t="s">
        <v>30</v>
      </c>
      <c r="M63" s="115" t="s">
        <v>30</v>
      </c>
      <c r="N63" s="115"/>
      <c r="O63" s="115"/>
      <c r="P63" s="115"/>
      <c r="Q63" s="118">
        <f t="shared" si="3"/>
        <v>0</v>
      </c>
      <c r="R63" s="133"/>
      <c r="S63" s="5"/>
      <c r="T63" s="134"/>
      <c r="U63" s="106"/>
      <c r="V63" s="106"/>
    </row>
    <row r="64" ht="15.75" customHeight="1">
      <c r="A64" s="114">
        <f t="shared" si="1"/>
        <v>15</v>
      </c>
      <c r="B64" s="114">
        <f t="shared" si="2"/>
        <v>10</v>
      </c>
      <c r="C64" s="107" t="s">
        <v>84</v>
      </c>
      <c r="D64" s="115" t="s">
        <v>304</v>
      </c>
      <c r="E64" s="109" t="s">
        <v>101</v>
      </c>
      <c r="F64" s="115" t="s">
        <v>101</v>
      </c>
      <c r="G64" s="115" t="s">
        <v>30</v>
      </c>
      <c r="H64" s="115" t="s">
        <v>30</v>
      </c>
      <c r="I64" s="115" t="s">
        <v>30</v>
      </c>
      <c r="J64" s="115" t="s">
        <v>30</v>
      </c>
      <c r="K64" s="115" t="s">
        <v>30</v>
      </c>
      <c r="L64" s="115" t="s">
        <v>30</v>
      </c>
      <c r="M64" s="115" t="s">
        <v>30</v>
      </c>
      <c r="N64" s="115"/>
      <c r="O64" s="115"/>
      <c r="P64" s="115"/>
      <c r="Q64" s="118">
        <f t="shared" si="3"/>
        <v>0</v>
      </c>
      <c r="R64" s="133"/>
      <c r="S64" s="5"/>
      <c r="T64" s="134"/>
      <c r="U64" s="106"/>
      <c r="V64" s="106"/>
    </row>
    <row r="65" ht="15.75" customHeight="1">
      <c r="A65" s="114">
        <f t="shared" si="1"/>
        <v>15</v>
      </c>
      <c r="B65" s="114">
        <f t="shared" si="2"/>
        <v>10</v>
      </c>
      <c r="C65" s="107" t="s">
        <v>84</v>
      </c>
      <c r="D65" s="115" t="s">
        <v>366</v>
      </c>
      <c r="E65" s="109" t="s">
        <v>101</v>
      </c>
      <c r="F65" s="115" t="s">
        <v>101</v>
      </c>
      <c r="G65" s="115" t="s">
        <v>30</v>
      </c>
      <c r="H65" s="115" t="s">
        <v>30</v>
      </c>
      <c r="I65" s="115" t="s">
        <v>30</v>
      </c>
      <c r="J65" s="115" t="s">
        <v>30</v>
      </c>
      <c r="K65" s="115" t="s">
        <v>30</v>
      </c>
      <c r="L65" s="115" t="s">
        <v>30</v>
      </c>
      <c r="M65" s="115" t="s">
        <v>30</v>
      </c>
      <c r="N65" s="115"/>
      <c r="O65" s="115"/>
      <c r="P65" s="115"/>
      <c r="Q65" s="118">
        <f t="shared" si="3"/>
        <v>0</v>
      </c>
      <c r="R65" s="133"/>
      <c r="S65" s="5"/>
      <c r="T65" s="134"/>
      <c r="U65" s="106"/>
      <c r="V65" s="106"/>
    </row>
    <row r="66" ht="15.75" customHeight="1">
      <c r="A66" s="114">
        <f t="shared" si="1"/>
        <v>15</v>
      </c>
      <c r="B66" s="114">
        <f t="shared" si="2"/>
        <v>10</v>
      </c>
      <c r="C66" s="107" t="s">
        <v>84</v>
      </c>
      <c r="D66" s="115" t="s">
        <v>341</v>
      </c>
      <c r="E66" s="109" t="s">
        <v>101</v>
      </c>
      <c r="F66" s="115" t="s">
        <v>101</v>
      </c>
      <c r="G66" s="115" t="s">
        <v>30</v>
      </c>
      <c r="H66" s="115" t="s">
        <v>30</v>
      </c>
      <c r="I66" s="115" t="s">
        <v>30</v>
      </c>
      <c r="J66" s="115" t="s">
        <v>30</v>
      </c>
      <c r="K66" s="115" t="s">
        <v>30</v>
      </c>
      <c r="L66" s="115" t="s">
        <v>30</v>
      </c>
      <c r="M66" s="115" t="s">
        <v>30</v>
      </c>
      <c r="N66" s="115"/>
      <c r="O66" s="115"/>
      <c r="P66" s="115"/>
      <c r="Q66" s="118">
        <f t="shared" si="3"/>
        <v>0</v>
      </c>
      <c r="R66" s="133"/>
      <c r="S66" s="5"/>
      <c r="T66" s="134"/>
      <c r="U66" s="106"/>
      <c r="V66" s="106"/>
    </row>
    <row r="67" ht="15.75" customHeight="1">
      <c r="A67" s="114">
        <f t="shared" si="1"/>
        <v>15</v>
      </c>
      <c r="B67" s="114">
        <f t="shared" si="2"/>
        <v>10</v>
      </c>
      <c r="C67" s="107" t="s">
        <v>84</v>
      </c>
      <c r="D67" s="115" t="s">
        <v>342</v>
      </c>
      <c r="E67" s="109" t="s">
        <v>101</v>
      </c>
      <c r="F67" s="115" t="s">
        <v>101</v>
      </c>
      <c r="G67" s="115" t="s">
        <v>30</v>
      </c>
      <c r="H67" s="115" t="s">
        <v>30</v>
      </c>
      <c r="I67" s="115" t="s">
        <v>30</v>
      </c>
      <c r="J67" s="115" t="s">
        <v>30</v>
      </c>
      <c r="K67" s="115" t="s">
        <v>30</v>
      </c>
      <c r="L67" s="115" t="s">
        <v>30</v>
      </c>
      <c r="M67" s="115" t="s">
        <v>30</v>
      </c>
      <c r="N67" s="115"/>
      <c r="O67" s="115"/>
      <c r="P67" s="115"/>
      <c r="Q67" s="118">
        <f t="shared" si="3"/>
        <v>0</v>
      </c>
      <c r="R67" s="133"/>
      <c r="S67" s="5"/>
      <c r="T67" s="134"/>
      <c r="U67" s="106"/>
      <c r="V67" s="106"/>
    </row>
    <row r="68" ht="15.75" customHeight="1">
      <c r="A68" s="114">
        <f t="shared" si="1"/>
        <v>15</v>
      </c>
      <c r="B68" s="114">
        <f t="shared" si="2"/>
        <v>10</v>
      </c>
      <c r="C68" s="107" t="s">
        <v>84</v>
      </c>
      <c r="D68" s="115" t="s">
        <v>303</v>
      </c>
      <c r="E68" s="109" t="s">
        <v>101</v>
      </c>
      <c r="F68" s="115" t="s">
        <v>101</v>
      </c>
      <c r="G68" s="115" t="s">
        <v>30</v>
      </c>
      <c r="H68" s="115" t="s">
        <v>30</v>
      </c>
      <c r="I68" s="115" t="s">
        <v>30</v>
      </c>
      <c r="J68" s="115" t="s">
        <v>30</v>
      </c>
      <c r="K68" s="115" t="s">
        <v>30</v>
      </c>
      <c r="L68" s="115" t="s">
        <v>30</v>
      </c>
      <c r="M68" s="115" t="s">
        <v>30</v>
      </c>
      <c r="N68" s="115"/>
      <c r="O68" s="115"/>
      <c r="P68" s="115"/>
      <c r="Q68" s="118">
        <f t="shared" si="3"/>
        <v>0</v>
      </c>
      <c r="R68" s="133"/>
      <c r="S68" s="5"/>
      <c r="T68" s="134"/>
      <c r="U68" s="106"/>
      <c r="V68" s="106"/>
    </row>
    <row r="69" ht="15.75" customHeight="1">
      <c r="A69" s="114">
        <f t="shared" si="1"/>
        <v>15</v>
      </c>
      <c r="B69" s="114">
        <f t="shared" si="2"/>
        <v>10</v>
      </c>
      <c r="C69" s="107" t="s">
        <v>84</v>
      </c>
      <c r="D69" s="115" t="s">
        <v>343</v>
      </c>
      <c r="E69" s="109" t="s">
        <v>101</v>
      </c>
      <c r="F69" s="115" t="s">
        <v>101</v>
      </c>
      <c r="G69" s="115" t="s">
        <v>30</v>
      </c>
      <c r="H69" s="115" t="s">
        <v>30</v>
      </c>
      <c r="I69" s="115" t="s">
        <v>30</v>
      </c>
      <c r="J69" s="115" t="s">
        <v>30</v>
      </c>
      <c r="K69" s="115" t="s">
        <v>30</v>
      </c>
      <c r="L69" s="115" t="s">
        <v>30</v>
      </c>
      <c r="M69" s="115" t="s">
        <v>30</v>
      </c>
      <c r="N69" s="115"/>
      <c r="O69" s="115"/>
      <c r="P69" s="115"/>
      <c r="Q69" s="118">
        <f t="shared" si="3"/>
        <v>0</v>
      </c>
      <c r="R69" s="133"/>
      <c r="S69" s="5"/>
      <c r="T69" s="134"/>
      <c r="U69" s="106"/>
      <c r="V69" s="106"/>
    </row>
    <row r="70" ht="15.75" customHeight="1">
      <c r="A70" s="114">
        <f t="shared" si="1"/>
        <v>15</v>
      </c>
      <c r="B70" s="114">
        <f t="shared" si="2"/>
        <v>11</v>
      </c>
      <c r="C70" s="107" t="s">
        <v>79</v>
      </c>
      <c r="D70" s="115" t="s">
        <v>307</v>
      </c>
      <c r="E70" s="109" t="s">
        <v>101</v>
      </c>
      <c r="F70" s="115" t="s">
        <v>101</v>
      </c>
      <c r="G70" s="115" t="s">
        <v>21</v>
      </c>
      <c r="H70" s="115" t="s">
        <v>24</v>
      </c>
      <c r="I70" s="115" t="s">
        <v>30</v>
      </c>
      <c r="J70" s="115" t="s">
        <v>30</v>
      </c>
      <c r="K70" s="115" t="s">
        <v>30</v>
      </c>
      <c r="L70" s="115" t="s">
        <v>30</v>
      </c>
      <c r="M70" s="115" t="s">
        <v>30</v>
      </c>
      <c r="N70" s="115"/>
      <c r="O70" s="115"/>
      <c r="P70" s="115"/>
      <c r="Q70" s="118">
        <f t="shared" si="3"/>
        <v>0.1428571429</v>
      </c>
      <c r="R70" s="133"/>
      <c r="S70" s="5"/>
      <c r="T70" s="134"/>
      <c r="U70" s="106"/>
      <c r="V70" s="106"/>
    </row>
    <row r="71" ht="15.75" customHeight="1">
      <c r="A71" s="114">
        <f t="shared" si="1"/>
        <v>15</v>
      </c>
      <c r="B71" s="114">
        <f t="shared" si="2"/>
        <v>11</v>
      </c>
      <c r="C71" s="107" t="s">
        <v>79</v>
      </c>
      <c r="D71" s="115" t="s">
        <v>344</v>
      </c>
      <c r="E71" s="109" t="s">
        <v>101</v>
      </c>
      <c r="F71" s="115" t="s">
        <v>101</v>
      </c>
      <c r="G71" s="115" t="s">
        <v>30</v>
      </c>
      <c r="H71" s="115" t="s">
        <v>30</v>
      </c>
      <c r="I71" s="115" t="s">
        <v>30</v>
      </c>
      <c r="J71" s="115" t="s">
        <v>30</v>
      </c>
      <c r="K71" s="115" t="s">
        <v>30</v>
      </c>
      <c r="L71" s="115" t="s">
        <v>30</v>
      </c>
      <c r="M71" s="115" t="s">
        <v>30</v>
      </c>
      <c r="N71" s="115"/>
      <c r="O71" s="115"/>
      <c r="P71" s="115"/>
      <c r="Q71" s="118">
        <f t="shared" si="3"/>
        <v>0</v>
      </c>
      <c r="R71" s="133"/>
      <c r="S71" s="5"/>
      <c r="T71" s="134"/>
      <c r="U71" s="106"/>
      <c r="V71" s="106"/>
    </row>
    <row r="72" ht="15.75" customHeight="1">
      <c r="A72" s="114">
        <f t="shared" si="1"/>
        <v>15</v>
      </c>
      <c r="B72" s="114">
        <f t="shared" si="2"/>
        <v>11</v>
      </c>
      <c r="C72" s="107" t="s">
        <v>79</v>
      </c>
      <c r="D72" s="115" t="s">
        <v>347</v>
      </c>
      <c r="E72" s="109" t="s">
        <v>101</v>
      </c>
      <c r="F72" s="115" t="s">
        <v>101</v>
      </c>
      <c r="G72" s="115" t="s">
        <v>30</v>
      </c>
      <c r="H72" s="115" t="s">
        <v>30</v>
      </c>
      <c r="I72" s="115" t="s">
        <v>30</v>
      </c>
      <c r="J72" s="115" t="s">
        <v>30</v>
      </c>
      <c r="K72" s="115" t="s">
        <v>30</v>
      </c>
      <c r="L72" s="115" t="s">
        <v>30</v>
      </c>
      <c r="M72" s="115" t="s">
        <v>30</v>
      </c>
      <c r="N72" s="115"/>
      <c r="O72" s="115"/>
      <c r="P72" s="115"/>
      <c r="Q72" s="118">
        <f t="shared" si="3"/>
        <v>0</v>
      </c>
      <c r="R72" s="133"/>
      <c r="S72" s="5"/>
      <c r="T72" s="134"/>
      <c r="U72" s="106"/>
      <c r="V72" s="106"/>
    </row>
    <row r="73" ht="15.75" customHeight="1">
      <c r="A73" s="114">
        <f t="shared" si="1"/>
        <v>15</v>
      </c>
      <c r="B73" s="114">
        <f t="shared" si="2"/>
        <v>11</v>
      </c>
      <c r="C73" s="107" t="s">
        <v>79</v>
      </c>
      <c r="D73" s="115" t="s">
        <v>308</v>
      </c>
      <c r="E73" s="109" t="s">
        <v>101</v>
      </c>
      <c r="F73" s="115" t="s">
        <v>101</v>
      </c>
      <c r="G73" s="115" t="s">
        <v>30</v>
      </c>
      <c r="H73" s="115" t="s">
        <v>30</v>
      </c>
      <c r="I73" s="115" t="s">
        <v>30</v>
      </c>
      <c r="J73" s="115" t="s">
        <v>30</v>
      </c>
      <c r="K73" s="115" t="s">
        <v>30</v>
      </c>
      <c r="L73" s="115" t="s">
        <v>30</v>
      </c>
      <c r="M73" s="115" t="s">
        <v>30</v>
      </c>
      <c r="N73" s="115"/>
      <c r="O73" s="115"/>
      <c r="P73" s="115"/>
      <c r="Q73" s="118">
        <f t="shared" si="3"/>
        <v>0</v>
      </c>
      <c r="R73" s="133"/>
      <c r="S73" s="5"/>
      <c r="T73" s="134"/>
      <c r="U73" s="106"/>
      <c r="V73" s="106"/>
    </row>
    <row r="74" ht="15.75" customHeight="1">
      <c r="A74" s="114">
        <f t="shared" si="1"/>
        <v>15</v>
      </c>
      <c r="B74" s="114">
        <f t="shared" si="2"/>
        <v>10</v>
      </c>
      <c r="C74" s="107" t="s">
        <v>84</v>
      </c>
      <c r="D74" s="115" t="s">
        <v>228</v>
      </c>
      <c r="E74" s="109" t="s">
        <v>101</v>
      </c>
      <c r="F74" s="115"/>
      <c r="G74" s="115" t="s">
        <v>30</v>
      </c>
      <c r="H74" s="115" t="s">
        <v>30</v>
      </c>
      <c r="I74" s="115" t="s">
        <v>30</v>
      </c>
      <c r="J74" s="115" t="s">
        <v>30</v>
      </c>
      <c r="K74" s="115" t="s">
        <v>30</v>
      </c>
      <c r="L74" s="115" t="s">
        <v>30</v>
      </c>
      <c r="M74" s="115" t="s">
        <v>30</v>
      </c>
      <c r="N74" s="115"/>
      <c r="O74" s="115"/>
      <c r="P74" s="115"/>
      <c r="Q74" s="118">
        <f t="shared" si="3"/>
        <v>0</v>
      </c>
      <c r="R74" s="133"/>
      <c r="S74" s="5"/>
      <c r="T74" s="134"/>
      <c r="U74" s="106"/>
      <c r="V74" s="106"/>
    </row>
    <row r="75" ht="15.75" customHeight="1">
      <c r="A75" s="114">
        <f t="shared" si="1"/>
        <v>15</v>
      </c>
      <c r="B75" s="114">
        <f t="shared" si="2"/>
        <v>15</v>
      </c>
      <c r="C75" s="107"/>
      <c r="D75" s="115"/>
      <c r="E75" s="143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8">
        <f t="shared" si="3"/>
        <v>0</v>
      </c>
      <c r="R75" s="133"/>
      <c r="S75" s="5"/>
      <c r="T75" s="134"/>
      <c r="U75" s="106"/>
      <c r="V75" s="106"/>
    </row>
    <row r="76" ht="15.75" customHeight="1">
      <c r="A76" s="114">
        <f t="shared" si="1"/>
        <v>15</v>
      </c>
      <c r="B76" s="114">
        <f t="shared" si="2"/>
        <v>15</v>
      </c>
      <c r="C76" s="107"/>
      <c r="D76" s="115"/>
      <c r="E76" s="109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8">
        <f t="shared" si="3"/>
        <v>0</v>
      </c>
      <c r="R76" s="133"/>
      <c r="S76" s="5"/>
      <c r="T76" s="134"/>
      <c r="U76" s="106"/>
      <c r="V76" s="106"/>
    </row>
    <row r="77" ht="15.75" customHeight="1">
      <c r="A77" s="114">
        <f t="shared" si="1"/>
        <v>15</v>
      </c>
      <c r="B77" s="114">
        <f t="shared" si="2"/>
        <v>15</v>
      </c>
      <c r="C77" s="107"/>
      <c r="D77" s="115"/>
      <c r="E77" s="117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8">
        <f t="shared" si="3"/>
        <v>0</v>
      </c>
      <c r="R77" s="133"/>
      <c r="S77" s="5"/>
      <c r="T77" s="134"/>
      <c r="U77" s="106"/>
      <c r="V77" s="106"/>
    </row>
    <row r="78" ht="15.75" customHeight="1">
      <c r="A78" s="114">
        <f t="shared" si="1"/>
        <v>15</v>
      </c>
      <c r="B78" s="114">
        <f t="shared" si="2"/>
        <v>15</v>
      </c>
      <c r="C78" s="107"/>
      <c r="D78" s="115"/>
      <c r="E78" s="109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18">
        <f t="shared" si="3"/>
        <v>0</v>
      </c>
      <c r="R78" s="133"/>
      <c r="S78" s="5"/>
      <c r="T78" s="134"/>
      <c r="U78" s="106"/>
      <c r="V78" s="106"/>
    </row>
    <row r="79" ht="15.75" customHeight="1">
      <c r="A79" s="114">
        <f t="shared" si="1"/>
        <v>15</v>
      </c>
      <c r="B79" s="114">
        <f t="shared" si="2"/>
        <v>15</v>
      </c>
      <c r="C79" s="107"/>
      <c r="D79" s="115"/>
      <c r="E79" s="109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18">
        <f t="shared" si="3"/>
        <v>0</v>
      </c>
      <c r="R79" s="133"/>
      <c r="S79" s="5"/>
      <c r="T79" s="134"/>
      <c r="U79" s="106"/>
      <c r="V79" s="106"/>
    </row>
    <row r="80" ht="15.75" customHeight="1">
      <c r="A80" s="114">
        <f t="shared" si="1"/>
        <v>15</v>
      </c>
      <c r="B80" s="114">
        <f t="shared" si="2"/>
        <v>15</v>
      </c>
      <c r="C80" s="107"/>
      <c r="D80" s="115"/>
      <c r="E80" s="109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18">
        <f t="shared" si="3"/>
        <v>0</v>
      </c>
      <c r="R80" s="138"/>
      <c r="T80" s="138"/>
      <c r="U80" s="138"/>
      <c r="V80" s="138"/>
    </row>
    <row r="81" ht="15.75" customHeight="1">
      <c r="A81" s="114">
        <f t="shared" si="1"/>
        <v>15</v>
      </c>
      <c r="B81" s="114">
        <f t="shared" si="2"/>
        <v>15</v>
      </c>
      <c r="C81" s="107"/>
      <c r="D81" s="115"/>
      <c r="E81" s="109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8">
        <f t="shared" si="3"/>
        <v>0</v>
      </c>
      <c r="R81" s="138"/>
      <c r="T81" s="138"/>
      <c r="U81" s="138"/>
      <c r="V81" s="138"/>
    </row>
    <row r="82" ht="15.75" customHeight="1">
      <c r="A82" s="114">
        <f t="shared" si="1"/>
        <v>15</v>
      </c>
      <c r="B82" s="114">
        <f t="shared" si="2"/>
        <v>15</v>
      </c>
      <c r="C82" s="107"/>
      <c r="D82" s="115"/>
      <c r="E82" s="109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8">
        <f t="shared" si="3"/>
        <v>0</v>
      </c>
      <c r="R82" s="138"/>
      <c r="T82" s="138"/>
      <c r="U82" s="138"/>
      <c r="V82" s="138"/>
    </row>
    <row r="83" ht="15.75" customHeight="1">
      <c r="A83" s="114">
        <f t="shared" si="1"/>
        <v>15</v>
      </c>
      <c r="B83" s="114">
        <f t="shared" si="2"/>
        <v>15</v>
      </c>
      <c r="C83" s="107"/>
      <c r="D83" s="115"/>
      <c r="E83" s="109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8">
        <f t="shared" si="3"/>
        <v>0</v>
      </c>
      <c r="R83" s="138"/>
      <c r="T83" s="138"/>
      <c r="U83" s="138"/>
      <c r="V83" s="138"/>
    </row>
    <row r="84" ht="15.75" customHeight="1">
      <c r="A84" s="114">
        <f t="shared" si="1"/>
        <v>15</v>
      </c>
      <c r="B84" s="114">
        <f t="shared" si="2"/>
        <v>15</v>
      </c>
      <c r="C84" s="107"/>
      <c r="D84" s="115"/>
      <c r="E84" s="109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8">
        <f t="shared" si="3"/>
        <v>0</v>
      </c>
      <c r="R84" s="138"/>
      <c r="T84" s="138"/>
      <c r="U84" s="138"/>
      <c r="V84" s="138"/>
    </row>
    <row r="85" ht="15.75" customHeight="1">
      <c r="A85" s="114">
        <f t="shared" si="1"/>
        <v>15</v>
      </c>
      <c r="B85" s="114">
        <f t="shared" si="2"/>
        <v>15</v>
      </c>
      <c r="C85" s="107"/>
      <c r="D85" s="115"/>
      <c r="E85" s="109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8">
        <f t="shared" si="3"/>
        <v>0</v>
      </c>
      <c r="R85" s="138"/>
      <c r="T85" s="138"/>
      <c r="U85" s="138"/>
      <c r="V85" s="138"/>
    </row>
    <row r="86" ht="15.75" customHeight="1">
      <c r="A86" s="114">
        <f t="shared" si="1"/>
        <v>15</v>
      </c>
      <c r="B86" s="114">
        <f t="shared" si="2"/>
        <v>15</v>
      </c>
      <c r="C86" s="107"/>
      <c r="D86" s="115"/>
      <c r="E86" s="109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8">
        <f t="shared" si="3"/>
        <v>0</v>
      </c>
      <c r="R86" s="138"/>
      <c r="T86" s="138"/>
      <c r="U86" s="138"/>
      <c r="V86" s="138"/>
    </row>
    <row r="87" ht="15.75" customHeight="1">
      <c r="A87" s="114">
        <f t="shared" si="1"/>
        <v>15</v>
      </c>
      <c r="B87" s="114">
        <f t="shared" si="2"/>
        <v>15</v>
      </c>
      <c r="C87" s="107"/>
      <c r="D87" s="115"/>
      <c r="E87" s="109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8">
        <f t="shared" si="3"/>
        <v>0</v>
      </c>
      <c r="R87" s="138"/>
      <c r="T87" s="138"/>
      <c r="U87" s="138"/>
      <c r="V87" s="138"/>
    </row>
    <row r="88" ht="15.75" customHeight="1">
      <c r="A88" s="114">
        <f t="shared" si="1"/>
        <v>15</v>
      </c>
      <c r="B88" s="114">
        <f t="shared" si="2"/>
        <v>15</v>
      </c>
      <c r="C88" s="107"/>
      <c r="D88" s="115"/>
      <c r="E88" s="109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8">
        <f t="shared" si="3"/>
        <v>0</v>
      </c>
      <c r="R88" s="138"/>
      <c r="T88" s="138"/>
      <c r="U88" s="138"/>
      <c r="V88" s="138"/>
    </row>
    <row r="89" ht="15.75" customHeight="1">
      <c r="A89" s="114">
        <f t="shared" si="1"/>
        <v>15</v>
      </c>
      <c r="B89" s="114">
        <f t="shared" si="2"/>
        <v>15</v>
      </c>
      <c r="C89" s="107"/>
      <c r="D89" s="115"/>
      <c r="E89" s="109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8">
        <f t="shared" si="3"/>
        <v>0</v>
      </c>
      <c r="R89" s="138"/>
      <c r="T89" s="138"/>
      <c r="U89" s="138"/>
      <c r="V89" s="138"/>
    </row>
    <row r="90" ht="15.75" customHeight="1">
      <c r="A90" s="114">
        <f t="shared" si="1"/>
        <v>15</v>
      </c>
      <c r="B90" s="114">
        <f t="shared" si="2"/>
        <v>15</v>
      </c>
      <c r="C90" s="107"/>
      <c r="D90" s="115"/>
      <c r="E90" s="109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8">
        <f t="shared" si="3"/>
        <v>0</v>
      </c>
      <c r="R90" s="138"/>
      <c r="T90" s="138"/>
      <c r="U90" s="138"/>
      <c r="V90" s="138"/>
    </row>
    <row r="91" ht="15.75" customHeight="1">
      <c r="A91" s="114">
        <f t="shared" si="1"/>
        <v>15</v>
      </c>
      <c r="B91" s="114">
        <f t="shared" si="2"/>
        <v>15</v>
      </c>
      <c r="C91" s="107"/>
      <c r="D91" s="115"/>
      <c r="E91" s="109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8">
        <f t="shared" si="3"/>
        <v>0</v>
      </c>
      <c r="R91" s="138"/>
      <c r="T91" s="138"/>
      <c r="U91" s="138"/>
      <c r="V91" s="138"/>
    </row>
    <row r="92" ht="15.75" customHeight="1">
      <c r="A92" s="114">
        <f t="shared" si="1"/>
        <v>15</v>
      </c>
      <c r="B92" s="114">
        <f t="shared" si="2"/>
        <v>15</v>
      </c>
      <c r="C92" s="107"/>
      <c r="D92" s="115"/>
      <c r="E92" s="109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8">
        <f t="shared" si="3"/>
        <v>0</v>
      </c>
      <c r="R92" s="138"/>
      <c r="T92" s="138"/>
      <c r="U92" s="138"/>
      <c r="V92" s="138"/>
    </row>
    <row r="93" ht="15.75" customHeight="1">
      <c r="A93" s="114">
        <f t="shared" si="1"/>
        <v>15</v>
      </c>
      <c r="B93" s="114">
        <f t="shared" si="2"/>
        <v>15</v>
      </c>
      <c r="C93" s="107"/>
      <c r="D93" s="115"/>
      <c r="E93" s="109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8">
        <f t="shared" si="3"/>
        <v>0</v>
      </c>
      <c r="R93" s="138"/>
      <c r="S93" s="138"/>
      <c r="T93" s="138"/>
      <c r="U93" s="138"/>
      <c r="V93" s="138"/>
    </row>
    <row r="94" ht="15.75" customHeight="1">
      <c r="A94" s="114">
        <f t="shared" si="1"/>
        <v>15</v>
      </c>
      <c r="B94" s="114">
        <f t="shared" si="2"/>
        <v>15</v>
      </c>
      <c r="C94" s="107"/>
      <c r="D94" s="115"/>
      <c r="E94" s="109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8">
        <f t="shared" si="3"/>
        <v>0</v>
      </c>
      <c r="R94" s="138"/>
      <c r="S94" s="138"/>
      <c r="T94" s="138"/>
      <c r="U94" s="138"/>
      <c r="V94" s="138"/>
    </row>
    <row r="95" ht="15.75" customHeight="1">
      <c r="A95" s="114">
        <f t="shared" si="1"/>
        <v>15</v>
      </c>
      <c r="B95" s="114">
        <f t="shared" si="2"/>
        <v>15</v>
      </c>
      <c r="C95" s="107"/>
      <c r="D95" s="115"/>
      <c r="E95" s="109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8">
        <f t="shared" si="3"/>
        <v>0</v>
      </c>
      <c r="R95" s="138"/>
      <c r="S95" s="138"/>
      <c r="T95" s="138"/>
      <c r="U95" s="138"/>
      <c r="V95" s="138"/>
    </row>
    <row r="96" ht="15.75" customHeight="1">
      <c r="A96" s="114">
        <f t="shared" si="1"/>
        <v>15</v>
      </c>
      <c r="B96" s="114">
        <f t="shared" si="2"/>
        <v>15</v>
      </c>
      <c r="C96" s="107"/>
      <c r="D96" s="115"/>
      <c r="E96" s="109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8">
        <f t="shared" si="3"/>
        <v>0</v>
      </c>
      <c r="R96" s="138"/>
      <c r="S96" s="138"/>
      <c r="T96" s="138"/>
      <c r="U96" s="138"/>
      <c r="V96" s="138"/>
    </row>
    <row r="97" ht="15.75" customHeight="1">
      <c r="A97" s="114">
        <f t="shared" si="1"/>
        <v>15</v>
      </c>
      <c r="B97" s="114">
        <f t="shared" si="2"/>
        <v>15</v>
      </c>
      <c r="C97" s="107"/>
      <c r="D97" s="115"/>
      <c r="E97" s="109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8">
        <f t="shared" si="3"/>
        <v>0</v>
      </c>
      <c r="R97" s="138"/>
      <c r="S97" s="138"/>
      <c r="T97" s="138"/>
      <c r="U97" s="138"/>
      <c r="V97" s="138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P$97"/>
  <mergeCells count="85"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85:S85"/>
    <mergeCell ref="R86:S86"/>
    <mergeCell ref="R87:S87"/>
    <mergeCell ref="R88:S88"/>
    <mergeCell ref="R89:S89"/>
    <mergeCell ref="R90:S90"/>
    <mergeCell ref="R91:S91"/>
    <mergeCell ref="R92:S92"/>
    <mergeCell ref="R78:S78"/>
    <mergeCell ref="R79:S79"/>
    <mergeCell ref="R80:S80"/>
    <mergeCell ref="R81:S81"/>
    <mergeCell ref="R82:S82"/>
    <mergeCell ref="R83:S83"/>
    <mergeCell ref="R84:S84"/>
    <mergeCell ref="C1:E1"/>
    <mergeCell ref="G1:P1"/>
    <mergeCell ref="R11:S11"/>
    <mergeCell ref="U11:V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</mergeCells>
  <conditionalFormatting sqref="G3:P97 R3:R7">
    <cfRule type="containsText" dxfId="2" priority="1" operator="containsText" text="A">
      <formula>NOT(ISERROR(SEARCH(("A"),(G3))))</formula>
    </cfRule>
  </conditionalFormatting>
  <conditionalFormatting sqref="G3:P97 R3:R7">
    <cfRule type="containsText" dxfId="3" priority="2" operator="containsText" text="F">
      <formula>NOT(ISERROR(SEARCH(("F"),(G3))))</formula>
    </cfRule>
  </conditionalFormatting>
  <conditionalFormatting sqref="G3:P97 R3:R7">
    <cfRule type="containsText" dxfId="4" priority="3" operator="containsText" text="J">
      <formula>NOT(ISERROR(SEARCH(("J"),(G3))))</formula>
    </cfRule>
  </conditionalFormatting>
  <conditionalFormatting sqref="G3:P97 R3:R7">
    <cfRule type="containsText" dxfId="5" priority="4" operator="containsText" text="R">
      <formula>NOT(ISERROR(SEARCH(("R"),(G3))))</formula>
    </cfRule>
  </conditionalFormatting>
  <conditionalFormatting sqref="G3:P97 R3:R7">
    <cfRule type="containsText" dxfId="6" priority="5" operator="containsText" text="L">
      <formula>NOT(ISERROR(SEARCH(("L"),(G3))))</formula>
    </cfRule>
  </conditionalFormatting>
  <conditionalFormatting sqref="T13:T79">
    <cfRule type="expression" dxfId="7" priority="6">
      <formula>AND(ISNUMBER(T13),TRUNC(T13)&lt;TODAY())</formula>
    </cfRule>
  </conditionalFormatting>
  <conditionalFormatting sqref="T13:T79">
    <cfRule type="expression" dxfId="8" priority="7">
      <formula>AND(ISNUMBER(T13),TRUNC(T13)&gt;TODAY())</formula>
    </cfRule>
  </conditionalFormatting>
  <conditionalFormatting sqref="T13:T79">
    <cfRule type="timePeriod" dxfId="9" priority="8" timePeriod="today"/>
  </conditionalFormatting>
  <conditionalFormatting sqref="U13:V79">
    <cfRule type="containsText" dxfId="1" priority="9" operator="containsText" text="Si">
      <formula>NOT(ISERROR(SEARCH(("Si"),(U13))))</formula>
    </cfRule>
  </conditionalFormatting>
  <conditionalFormatting sqref="U13:V79">
    <cfRule type="containsText" dxfId="7" priority="10" operator="containsText" text="No">
      <formula>NOT(ISERROR(SEARCH(("No"),(U13))))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0"/>
    <col customWidth="1" min="4" max="4" width="12.86"/>
    <col customWidth="1" min="5" max="5" width="14.0"/>
    <col customWidth="1" min="6" max="6" width="11.0"/>
    <col customWidth="1" min="7" max="16" width="6.43"/>
    <col customWidth="1" min="17" max="17" width="6.86"/>
    <col customWidth="1" min="18" max="19" width="12.29"/>
    <col customWidth="1" min="20" max="20" width="14.57"/>
    <col customWidth="1" min="21" max="21" width="8.29"/>
    <col customWidth="1" min="22" max="22" width="12.43"/>
    <col customWidth="1" min="23" max="26" width="8.71"/>
  </cols>
  <sheetData>
    <row r="1" ht="15.75" customHeight="1">
      <c r="A1" s="138" t="s">
        <v>0</v>
      </c>
      <c r="B1" s="101" t="s">
        <v>1</v>
      </c>
      <c r="C1" s="102" t="s">
        <v>2</v>
      </c>
      <c r="D1" s="4"/>
      <c r="E1" s="5"/>
      <c r="F1" s="100"/>
      <c r="G1" s="103" t="s">
        <v>334</v>
      </c>
      <c r="H1" s="7"/>
      <c r="I1" s="7"/>
      <c r="J1" s="7"/>
      <c r="K1" s="7"/>
      <c r="L1" s="7"/>
      <c r="M1" s="7"/>
      <c r="N1" s="7"/>
      <c r="O1" s="7"/>
      <c r="P1" s="8"/>
      <c r="Q1" s="104">
        <v>4.0</v>
      </c>
      <c r="R1" s="151" t="s">
        <v>296</v>
      </c>
      <c r="S1" s="105"/>
      <c r="T1" s="100" t="s">
        <v>275</v>
      </c>
      <c r="U1" s="105"/>
      <c r="V1" s="105"/>
    </row>
    <row r="2" ht="15.75" customHeight="1">
      <c r="A2" s="106"/>
      <c r="B2" s="107"/>
      <c r="C2" s="107" t="s">
        <v>8</v>
      </c>
      <c r="D2" s="106" t="s">
        <v>9</v>
      </c>
      <c r="E2" s="109" t="s">
        <v>14</v>
      </c>
      <c r="F2" s="106" t="s">
        <v>15</v>
      </c>
      <c r="G2" s="112">
        <v>43116.0</v>
      </c>
      <c r="H2" s="112">
        <v>43118.0</v>
      </c>
      <c r="I2" s="112">
        <v>43125.0</v>
      </c>
      <c r="J2" s="112">
        <v>43130.0</v>
      </c>
      <c r="K2" s="112"/>
      <c r="L2" s="112"/>
      <c r="M2" s="112"/>
      <c r="N2" s="112"/>
      <c r="O2" s="112"/>
      <c r="P2" s="112"/>
      <c r="Q2" s="113" t="s">
        <v>16</v>
      </c>
      <c r="R2" s="105"/>
      <c r="S2" s="105"/>
      <c r="T2" s="100"/>
      <c r="V2" s="105"/>
    </row>
    <row r="3" ht="15.75" customHeight="1">
      <c r="A3" s="114">
        <f t="shared" ref="A3:A97" si="1">IF(E3="ALTM",1,IF(E3="1° P",2,IF(E3="1° P - 1°M",3,IF(E3="1° P - 2°M",4,IF(E3="2° P",5,IF(E3="2° P - 3°M",6,IF(E3="2° P - 4°M",7,IF(E3="1° PP",8,IF(E3="1° PP - 1°Pa",9,IF(E3="1° PP - 2°Pa",10,IF(E3="Espectro",11,IF(E3="Caballeria",12,IF(E3="FAZR",13,15)))))))))))))</f>
        <v>1</v>
      </c>
      <c r="B3" s="114">
        <f t="shared" ref="B3:B97" si="2">IF(C3="Cap.",1,IF(C3="Tte.",2,IF(C3="Alf.",3,IF(C3="SgtM.",4,IF(C3="Sgt1.",5,IF(C3="Sgt.",6,IF(C3="Cbo1.",7,IF(C3="Cbo.",8,IF(C3="Dis.",9,IF(C3="Inf.",10,IF(C3="Rct.",11,15)))))))))))</f>
        <v>2</v>
      </c>
      <c r="C3" s="107" t="s">
        <v>240</v>
      </c>
      <c r="D3" s="115" t="s">
        <v>18</v>
      </c>
      <c r="E3" s="117" t="s">
        <v>22</v>
      </c>
      <c r="F3" s="115" t="s">
        <v>23</v>
      </c>
      <c r="G3" s="115" t="s">
        <v>21</v>
      </c>
      <c r="H3" s="115" t="s">
        <v>21</v>
      </c>
      <c r="I3" s="115" t="s">
        <v>21</v>
      </c>
      <c r="J3" s="115" t="s">
        <v>21</v>
      </c>
      <c r="K3" s="115"/>
      <c r="L3" s="115"/>
      <c r="M3" s="115"/>
      <c r="N3" s="115"/>
      <c r="O3" s="115"/>
      <c r="P3" s="115"/>
      <c r="Q3" s="118">
        <f t="shared" ref="Q3:Q97" si="3">SUM(IF(G3="A",1,0)+IF(H3="A",+1,0)+IF(I3="A",+1,0)+IF(J3="A",+1,0)+IF(K3="A",+1,0)+IF(L3="A",+1,0)+IF(M3="A",+1,0)+IF(N3="A",+1,0)+IF(O3="A",+1,0)+IF(P3="A",+1,0))/$Q$1</f>
        <v>1</v>
      </c>
      <c r="R3" s="115" t="s">
        <v>21</v>
      </c>
      <c r="S3" s="122" t="s">
        <v>317</v>
      </c>
      <c r="T3" s="152" t="s">
        <v>77</v>
      </c>
      <c r="U3" s="94">
        <f>SUM(0,IF(E2="1° P - 1°M",+1,0), IF(E3="1° P - 1°M",+1,0), IF(E4="1° P - 1°M",+1,0), IF(E5="1° P - 1°M",+1,0), IF(E6="1° P - 1°M",+1,0), IF(E7="1° P - 1°M",+1,0), IF(E8="1° P - 1°M",+1,0), IF(E9="1° P - 1°M",+1,0), IF(E10="1° P - 1°M",+1,0), IF(E11="1° P - 1°M",+1,0), IF(E12="1° P - 1°M",+1,0), IF(E13="1° P - 1°M",+1,0), IF(E14="1° P - 1°M",+1,0), IF(E15="1° P - 1°M",+1,0), IF(E16="1° P - 1°M",+1,0), IF(E17="1° P - 1°M",+1,0), IF(E18="1° P - 1°M",+1,0), IF(E19="1° P - 1°M",+1,0), IF(E20="1° P - 1°M",+1,0), IF(E21="1° P - 1°M",+1,0), IF(E22="1° P - 1°M",+1,0), IF(E23="1° P - 1°M",+1,0), IF(E24="1° P - 1°M",+1,0), IF(E25="1° P - 1°M",+1,0), IF(E26="1° P - 1°M",+1,0), IF(E27="1° P - 1°M",+1,0), IF(E28="1° P - 1°M",+1,0), IF(E29="1° P - 1°M",+1,0), IF(E30="1° P - 1°M",+1,0), IF(E31="1° P - 1°M",+1,0), IF(E32="1° P - 1°M",+1,0), IF(E33="1° P - 1°M",+1,0), IF(E34="1° P - 1°M",+1,0), IF(E35="1° P - 1°M",+1,0), IF(E36="1° P - 1°M",+1,0), IF(E37="1° P - 1°M",+1,0), IF(E38="1° P - 1°M",+1,0), IF(E39="1° P - 1°M",+1,0), IF(E40="1° P - 1°M",+1,0), IF(E41="1° P - 1°M",+1,0), IF(E42="1° P - 1°M",+1,0), IF(E43="1° P - 1°M",+1,0), IF(E44="1° P - 1°M",+1,0), IF(E45="1° P - 1°M",+1,0), IF(E46="1° P - 1°M",+1,0), IF(E47="1° P - 1°M",+1,0), IF(E48="1° P - 1°M",+1,0), IF(E49="1° P - 1°M",+1,0), IF(E50="1° P - 1°M",+1,0), IF(E51="1° P - 1°M",+1,0), IF(E52="1° P - 1°M",+1,0), IF(E53="1° P - 1°M",+1,0), IF(E54="1° P - 1°M",+1,0), IF(E55="1° P - 1°M",+1,0), IF(E56="1° P - 1°M",+1,0), IF(E57="1° P - 1°M",+1,0), IF(E58="1° P - 1°M",+1,0), IF(E59="1° P - 1°M",+1,0), IF(E60="1° P - 1°M",+1,0), IF(E61="1° P - 1°M",+1,0), IF(E62="1° P - 1°M",+1,0), IF(E63="1° P - 1°M",+1,0), IF(E64="1° P - 1°M",+1,0), IF(E65="1° P - 1°M",+1,0), IF(E66="1° P - 1°M",+1,0), IF(E67="1° P - 1°M",+1,0), IF(E68="1° P - 1°M",+1,0), IF(E69="1° P - 1°M",+1,0), IF(E70="1° P - 1°M",+1,0), IF(E71="1° P - 1°M",+1,0), IF(E72="1° P - 1°M",+1,0), IF(E73="1° P - 1°M",+1,0), IF(E74="1° P - 1°M",+1,0), IF(E75="1° P - 1°M",+1,0), IF(E76="1° P - 1°M",+1,0), IF(E77="1° P - 1°M",+1,0), IF(E78="1° P - 1°M",+1,0), IF(E79="1° P - 1°M",+1,0), IF(E80="1° P - 1°M",+1,0), IF(E81="1° P - 1°M",+1,0), IF(E82="1° P - 1°M",+1,0), IF(E83="1° P - 1°M",+1,0), IF(E84="1° P - 1°M",+1,0), IF(E85="1° P - 1°M",+1,0), IF(E86="1° P - 1°M",+1,0), IF(E87="1° P - 1°M",+1,0), IF(E88="1° P - 1°M",+1,0), IF(E89="1° P - 1°M",+1,0), IF(E90="1° P - 1°M",+1,0), IF(E91="1° P - 1°M",+1,0), IF(E92="1° P - 1°M",+1,0), IF(E93="1° P - 1°M",+1,0), IF(E94="1° P - 1°M",+1,0), IF(E95="1° P - 1°M",+1,0), IF(E96="1° P - 1°M",+1,0), IF(E97="1° P - 1°M",+1,0), IF(E98="1° P - 1°M",+1,0), IF(E99="1° P - 1°M",+1,0), IF(E100="1° P - 1°M",+1,0))</f>
        <v>11</v>
      </c>
    </row>
    <row r="4" ht="15.75" customHeight="1">
      <c r="A4" s="114">
        <f t="shared" si="1"/>
        <v>1</v>
      </c>
      <c r="B4" s="114">
        <f t="shared" si="2"/>
        <v>1</v>
      </c>
      <c r="C4" s="107" t="s">
        <v>17</v>
      </c>
      <c r="D4" s="138" t="s">
        <v>35</v>
      </c>
      <c r="E4" s="117" t="s">
        <v>22</v>
      </c>
      <c r="F4" s="121" t="s">
        <v>101</v>
      </c>
      <c r="G4" s="115" t="s">
        <v>30</v>
      </c>
      <c r="H4" s="115" t="s">
        <v>30</v>
      </c>
      <c r="I4" s="115" t="s">
        <v>30</v>
      </c>
      <c r="J4" s="115" t="s">
        <v>30</v>
      </c>
      <c r="K4" s="115"/>
      <c r="L4" s="115"/>
      <c r="M4" s="115"/>
      <c r="N4" s="115"/>
      <c r="O4" s="115"/>
      <c r="P4" s="115"/>
      <c r="Q4" s="118">
        <f t="shared" si="3"/>
        <v>0</v>
      </c>
      <c r="R4" s="115" t="s">
        <v>33</v>
      </c>
      <c r="S4" s="122" t="s">
        <v>324</v>
      </c>
      <c r="T4" s="152" t="s">
        <v>81</v>
      </c>
      <c r="U4" s="94">
        <f>SUM(0,IF(E3="1° P - 2°M",+1,0), IF(E4="1° P - 2°M",+1,0), IF(E5="1° P - 2°M",+1,0), IF(E6="1° P - 2°M",+1,0), IF(E7="1° P - 2°M",+1,0), IF(E8="1° P - 2°M",+1,0), IF(E9="1° P - 2°M",+1,0), IF(E10="1° P - 2°M",+1,0), IF(E11="1° P - 2°M",+1,0), IF(E12="1° P - 2°M",+1,0), IF(E13="1° P - 2°M",+1,0), IF(E14="1° P - 2°M",+1,0), IF(E15="1° P - 2°M",+1,0), IF(E16="1° P - 2°M",+1,0), IF(E17="1° P - 2°M",+1,0), IF(E18="1° P - 2°M",+1,0), IF(E19="1° P - 2°M",+1,0), IF(E20="1° P - 2°M",+1,0), IF(E21="1° P - 2°M",+1,0), IF(E22="1° P - 2°M",+1,0), IF(E23="1° P - 2°M",+1,0), IF(E24="1° P - 2°M",+1,0), IF(E25="1° P - 2°M",+1,0), IF(E26="1° P - 2°M",+1,0), IF(E27="1° P - 2°M",+1,0), IF(E28="1° P - 2°M",+1,0), IF(E29="1° P - 2°M",+1,0), IF(E30="1° P - 2°M",+1,0), IF(E31="1° P - 2°M",+1,0), IF(E32="1° P - 2°M",+1,0), IF(E33="1° P - 2°M",+1,0), IF(E34="1° P - 2°M",+1,0), IF(E35="1° P - 2°M",+1,0), IF(E36="1° P - 2°M",+1,0), IF(E37="1° P - 2°M",+1,0), IF(E38="1° P - 2°M",+1,0), IF(E39="1° P - 2°M",+1,0), IF(E40="1° P - 2°M",+1,0), IF(E41="1° P - 2°M",+1,0), IF(E42="1° P - 2°M",+1,0), IF(E43="1° P - 2°M",+1,0), IF(E44="1° P - 2°M",+1,0), IF(E45="1° P - 2°M",+1,0), IF(E46="1° P - 2°M",+1,0), IF(E47="1° P - 2°M",+1,0), IF(E48="1° P - 2°M",+1,0), IF(E49="1° P - 2°M",+1,0), IF(E50="1° P - 2°M",+1,0), IF(E51="1° P - 2°M",+1,0), IF(E52="1° P - 2°M",+1,0), IF(E53="1° P - 2°M",+1,0), IF(E54="1° P - 2°M",+1,0), IF(E55="1° P - 2°M",+1,0), IF(E56="1° P - 2°M",+1,0), IF(E57="1° P - 2°M",+1,0), IF(E58="1° P - 2°M",+1,0), IF(E59="1° P - 2°M",+1,0), IF(E60="1° P - 2°M",+1,0), IF(E61="1° P - 2°M",+1,0), IF(E62="1° P - 2°M",+1,0), IF(E63="1° P - 2°M",+1,0), IF(E64="1° P - 2°M",+1,0), IF(E65="1° P - 2°M",+1,0), IF(E66="1° P - 2°M",+1,0), IF(E67="1° P - 2°M",+1,0), IF(E68="1° P - 2°M",+1,0), IF(E69="1° P - 2°M",+1,0), IF(E70="1° P - 2°M",+1,0), IF(E71="1° P - 2°M",+1,0), IF(E72="1° P - 2°M",+1,0), IF(E73="1° P - 2°M",+1,0), IF(E74="1° P - 2°M",+1,0), IF(E75="1° P - 2°M",+1,0), IF(E76="1° P - 2°M",+1,0), IF(E77="1° P - 2°M",+1,0), IF(E78="1° P - 2°M",+1,0), IF(E79="1° P - 2°M",+1,0), IF(E80="1° P - 2°M",+1,0), IF(E81="1° P - 2°M",+1,0), IF(E82="1° P - 2°M",+1,0), IF(E83="1° P - 2°M",+1,0), IF(E84="1° P - 2°M",+1,0), IF(E85="1° P - 2°M",+1,0), IF(E86="1° P - 2°M",+1,0), IF(E87="1° P - 2°M",+1,0), IF(E88="1° P - 2°M",+1,0), IF(E89="1° P - 2°M",+1,0), IF(E90="1° P - 2°M",+1,0), IF(E91="1° P - 2°M",+1,0), IF(E92="1° P - 2°M",+1,0), IF(E93="1° P - 2°M",+1,0), IF(E94="1° P - 2°M",+1,0), IF(E95="1° P - 2°M",+1,0), IF(E96="1° P - 2°M",+1,0), IF(E97="1° P - 2°M",+1,0), IF(E98="1° P - 2°M",+1,0), IF(E99="1° P - 2°M",+1,0), IF(E100="1° P - 2°M",+1,0), IF(E101="1° P - 2°M",+1,0))</f>
        <v>9</v>
      </c>
    </row>
    <row r="5" ht="15.75" customHeight="1">
      <c r="A5" s="114">
        <f t="shared" si="1"/>
        <v>1</v>
      </c>
      <c r="B5" s="114">
        <f t="shared" si="2"/>
        <v>1</v>
      </c>
      <c r="C5" s="107" t="s">
        <v>17</v>
      </c>
      <c r="D5" s="115" t="s">
        <v>32</v>
      </c>
      <c r="E5" s="117" t="s">
        <v>22</v>
      </c>
      <c r="F5" s="123" t="s">
        <v>101</v>
      </c>
      <c r="G5" s="115" t="s">
        <v>30</v>
      </c>
      <c r="H5" s="115" t="s">
        <v>30</v>
      </c>
      <c r="I5" s="115" t="s">
        <v>30</v>
      </c>
      <c r="J5" s="115" t="s">
        <v>30</v>
      </c>
      <c r="K5" s="115"/>
      <c r="L5" s="115"/>
      <c r="M5" s="115"/>
      <c r="N5" s="115"/>
      <c r="O5" s="115"/>
      <c r="P5" s="115"/>
      <c r="Q5" s="118">
        <f t="shared" si="3"/>
        <v>0</v>
      </c>
      <c r="R5" s="115" t="s">
        <v>24</v>
      </c>
      <c r="S5" s="122" t="s">
        <v>329</v>
      </c>
      <c r="T5" s="152" t="s">
        <v>300</v>
      </c>
      <c r="U5" s="94">
        <f>SUM(0,IF(E4="2° P - 3°M",+1,0), IF(E5="2° P - 3°M",+1,0), IF(E6="2° P - 3°M",+1,0), IF(E7="2° P - 3°M",+1,0), IF(E8="2° P - 3°M",+1,0), IF(E9="2° P - 3°M",+1,0), IF(E10="2° P - 3°M",+1,0), IF(E11="2° P - 3°M",+1,0), IF(E12="2° P - 3°M",+1,0), IF(E13="2° P - 3°M",+1,0), IF(E14="2° P - 3°M",+1,0), IF(E15="2° P - 3°M",+1,0), IF(E16="2° P - 3°M",+1,0), IF(E17="2° P - 3°M",+1,0), IF(E18="2° P - 3°M",+1,0), IF(E19="2° P - 3°M",+1,0), IF(E20="2° P - 3°M",+1,0), IF(E21="2° P - 3°M",+1,0), IF(E22="2° P - 3°M",+1,0), IF(E23="2° P - 3°M",+1,0), IF(E24="2° P - 3°M",+1,0), IF(E25="2° P - 3°M",+1,0), IF(E26="2° P - 3°M",+1,0), IF(E27="2° P - 3°M",+1,0), IF(E28="2° P - 3°M",+1,0), IF(E29="2° P - 3°M",+1,0), IF(E30="2° P - 3°M",+1,0), IF(E31="2° P - 3°M",+1,0), IF(E32="2° P - 3°M",+1,0), IF(E33="2° P - 3°M",+1,0), IF(E34="2° P - 3°M",+1,0), IF(E35="2° P - 3°M",+1,0), IF(E36="2° P - 3°M",+1,0), IF(E37="2° P - 3°M",+1,0), IF(E38="2° P - 3°M",+1,0), IF(E39="2° P - 3°M",+1,0), IF(E40="2° P - 3°M",+1,0), IF(E41="2° P - 3°M",+1,0), IF(E42="2° P - 3°M",+1,0), IF(E43="2° P - 3°M",+1,0), IF(E44="2° P - 3°M",+1,0), IF(E45="2° P - 3°M",+1,0), IF(E46="2° P - 3°M",+1,0), IF(E47="2° P - 3°M",+1,0), IF(E48="2° P - 3°M",+1,0), IF(E49="2° P - 3°M",+1,0), IF(E50="2° P - 3°M",+1,0), IF(E51="2° P - 3°M",+1,0), IF(E52="2° P - 3°M",+1,0), IF(E53="2° P - 3°M",+1,0), IF(E54="2° P - 3°M",+1,0), IF(E55="2° P - 3°M",+1,0), IF(E56="2° P - 3°M",+1,0), IF(E57="2° P - 3°M",+1,0), IF(E58="2° P - 3°M",+1,0), IF(E59="2° P - 3°M",+1,0), IF(E60="2° P - 3°M",+1,0), IF(E61="2° P - 3°M",+1,0), IF(E62="2° P - 3°M",+1,0), IF(E63="2° P - 3°M",+1,0), IF(E64="2° P - 3°M",+1,0), IF(E65="2° P - 3°M",+1,0), IF(E66="2° P - 3°M",+1,0), IF(E67="2° P - 3°M",+1,0), IF(E68="2° P - 3°M",+1,0), IF(E69="2° P - 3°M",+1,0), IF(E70="2° P - 3°M",+1,0), IF(E71="2° P - 3°M",+1,0), IF(E72="2° P - 3°M",+1,0), IF(E73="2° P - 3°M",+1,0), IF(E74="2° P - 3°M",+1,0), IF(E75="2° P - 3°M",+1,0), IF(E76="2° P - 3°M",+1,0), IF(E77="2° P - 3°M",+1,0), IF(E78="2° P - 3°M",+1,0), IF(E79="2° P - 3°M",+1,0), IF(E80="2° P - 3°M",+1,0), IF(E81="2° P - 3°M",+1,0), IF(E82="2° P - 3°M",+1,0), IF(E83="2° P - 3°M",+1,0), IF(E84="2° P - 3°M",+1,0), IF(E85="2° P - 3°M",+1,0), IF(E86="2° P - 3°M",+1,0), IF(E87="2° P - 3°M",+1,0), IF(E88="2° P - 3°M",+1,0), IF(E89="2° P - 3°M",+1,0), IF(E90="2° P - 3°M",+1,0), IF(E91="2° P - 3°M",+1,0), IF(E92="2° P - 3°M",+1,0), IF(E93="2° P - 3°M",+1,0), IF(E94="2° P - 3°M",+1,0), IF(E95="2° P - 3°M",+1,0), IF(E96="2° P - 3°M",+1,0), IF(E97="2° P - 3°M",+1,0), IF(E98="2° P - 3°M",+1,0), IF(E99="2° P - 3°M",+1,0), IF(E100="2° P - 3°M",+1,0), IF(E101="2° P - 3°M",+1,0), IF(E102="2° P - 3°M",+1,0))</f>
        <v>7</v>
      </c>
    </row>
    <row r="6" ht="15.75" customHeight="1">
      <c r="A6" s="114">
        <f t="shared" si="1"/>
        <v>1</v>
      </c>
      <c r="B6" s="114">
        <f t="shared" si="2"/>
        <v>3</v>
      </c>
      <c r="C6" s="107" t="s">
        <v>26</v>
      </c>
      <c r="D6" s="115" t="s">
        <v>27</v>
      </c>
      <c r="E6" s="109" t="s">
        <v>22</v>
      </c>
      <c r="F6" s="115" t="s">
        <v>101</v>
      </c>
      <c r="G6" s="115" t="s">
        <v>21</v>
      </c>
      <c r="H6" s="115" t="s">
        <v>339</v>
      </c>
      <c r="I6" s="115" t="s">
        <v>339</v>
      </c>
      <c r="J6" s="115" t="s">
        <v>339</v>
      </c>
      <c r="K6" s="115"/>
      <c r="L6" s="138"/>
      <c r="M6" s="115"/>
      <c r="N6" s="115"/>
      <c r="O6" s="115"/>
      <c r="P6" s="115"/>
      <c r="Q6" s="118">
        <f t="shared" si="3"/>
        <v>0.25</v>
      </c>
      <c r="R6" s="115" t="s">
        <v>37</v>
      </c>
      <c r="S6" s="122" t="s">
        <v>38</v>
      </c>
      <c r="T6" s="152" t="s">
        <v>301</v>
      </c>
      <c r="U6" s="94">
        <f>SUM(0,IF(E5="2° P - 4°M",+1,0), IF(E6="2° P - 4°M",+1,0), IF(E7="2° P - 4°M",+1,0), IF(E8="2° P - 4°M",+1,0), IF(E9="2° P - 4°M",+1,0), IF(E10="2° P - 4°M",+1,0), IF(E11="2° P - 4°M",+1,0), IF(E12="2° P - 4°M",+1,0), IF(E13="2° P - 4°M",+1,0), IF(E14="2° P - 4°M",+1,0), IF(E15="2° P - 4°M",+1,0), IF(E16="2° P - 4°M",+1,0), IF(E17="2° P - 4°M",+1,0), IF(E18="2° P - 4°M",+1,0), IF(E19="2° P - 4°M",+1,0), IF(E20="2° P - 4°M",+1,0), IF(E21="2° P - 4°M",+1,0), IF(E22="2° P - 4°M",+1,0), IF(E23="2° P - 4°M",+1,0), IF(E24="2° P - 4°M",+1,0), IF(E25="2° P - 4°M",+1,0), IF(E26="2° P - 4°M",+1,0), IF(E27="2° P - 4°M",+1,0), IF(E28="2° P - 4°M",+1,0), IF(E29="2° P - 4°M",+1,0), IF(E30="2° P - 4°M",+1,0), IF(E31="2° P - 4°M",+1,0), IF(E32="2° P - 4°M",+1,0), IF(E33="2° P - 4°M",+1,0), IF(E34="2° P - 4°M",+1,0), IF(E35="2° P - 4°M",+1,0), IF(E36="2° P - 4°M",+1,0), IF(E37="2° P - 4°M",+1,0), IF(E38="2° P - 4°M",+1,0), IF(E39="2° P - 4°M",+1,0), IF(E40="2° P - 4°M",+1,0), IF(E41="2° P - 4°M",+1,0), IF(E42="2° P - 4°M",+1,0), IF(E43="2° P - 4°M",+1,0), IF(E44="2° P - 4°M",+1,0), IF(E45="2° P - 4°M",+1,0), IF(E46="2° P - 4°M",+1,0), IF(E47="2° P - 4°M",+1,0), IF(E48="2° P - 4°M",+1,0), IF(E49="2° P - 4°M",+1,0), IF(E50="2° P - 4°M",+1,0), IF(E51="2° P - 4°M",+1,0), IF(E52="2° P - 4°M",+1,0), IF(E53="2° P - 4°M",+1,0), IF(E54="2° P - 4°M",+1,0), IF(E55="2° P - 4°M",+1,0), IF(E56="2° P - 4°M",+1,0), IF(E57="2° P - 4°M",+1,0), IF(E58="2° P - 4°M",+1,0), IF(E59="2° P - 4°M",+1,0), IF(E60="2° P - 4°M",+1,0), IF(E61="2° P - 4°M",+1,0), IF(E62="2° P - 4°M",+1,0), IF(E63="2° P - 4°M",+1,0), IF(E64="2° P - 4°M",+1,0), IF(E65="2° P - 4°M",+1,0), IF(E66="2° P - 4°M",+1,0), IF(E67="2° P - 4°M",+1,0), IF(E68="2° P - 4°M",+1,0), IF(E69="2° P - 4°M",+1,0), IF(E70="2° P - 4°M",+1,0), IF(E71="2° P - 4°M",+1,0), IF(E72="2° P - 4°M",+1,0), IF(E73="2° P - 4°M",+1,0), IF(E74="2° P - 4°M",+1,0), IF(E75="2° P - 4°M",+1,0), IF(E76="2° P - 4°M",+1,0), IF(E77="2° P - 4°M",+1,0), IF(E78="2° P - 4°M",+1,0), IF(E79="2° P - 4°M",+1,0), IF(E80="2° P - 4°M",+1,0), IF(E81="2° P - 4°M",+1,0), IF(E82="2° P - 4°M",+1,0), IF(E83="2° P - 4°M",+1,0), IF(E84="2° P - 4°M",+1,0), IF(E85="2° P - 4°M",+1,0), IF(E86="2° P - 4°M",+1,0), IF(E87="2° P - 4°M",+1,0), IF(E88="2° P - 4°M",+1,0), IF(E89="2° P - 4°M",+1,0), IF(E90="2° P - 4°M",+1,0), IF(E91="2° P - 4°M",+1,0), IF(E92="2° P - 4°M",+1,0), IF(E93="2° P - 4°M",+1,0), IF(E94="2° P - 4°M",+1,0), IF(E95="2° P - 4°M",+1,0), IF(E96="2° P - 4°M",+1,0), IF(E97="2° P - 4°M",+1,0), IF(E98="2° P - 4°M",+1,0), IF(E99="2° P - 4°M",+1,0), IF(E100="2° P - 4°M",+1,0), IF(E101="2° P - 4°M",+1,0), IF(E102="2° P - 4°M",+1,0), IF(E103="2° P - 4°M",+1,0))</f>
        <v>8</v>
      </c>
    </row>
    <row r="7" ht="15.75" customHeight="1">
      <c r="A7" s="114">
        <f t="shared" si="1"/>
        <v>2</v>
      </c>
      <c r="B7" s="114">
        <f t="shared" si="2"/>
        <v>6</v>
      </c>
      <c r="C7" s="107" t="s">
        <v>113</v>
      </c>
      <c r="D7" s="115" t="s">
        <v>40</v>
      </c>
      <c r="E7" s="109" t="s">
        <v>42</v>
      </c>
      <c r="F7" s="115" t="s">
        <v>43</v>
      </c>
      <c r="G7" s="115" t="s">
        <v>21</v>
      </c>
      <c r="H7" s="115" t="s">
        <v>21</v>
      </c>
      <c r="I7" s="115" t="s">
        <v>21</v>
      </c>
      <c r="J7" s="115" t="s">
        <v>21</v>
      </c>
      <c r="K7" s="115"/>
      <c r="L7" s="94"/>
      <c r="M7" s="115"/>
      <c r="N7" s="115"/>
      <c r="O7" s="115"/>
      <c r="P7" s="115"/>
      <c r="Q7" s="118">
        <f t="shared" si="3"/>
        <v>1</v>
      </c>
      <c r="R7" s="115" t="s">
        <v>30</v>
      </c>
      <c r="S7" s="122" t="s">
        <v>101</v>
      </c>
      <c r="T7" s="152" t="s">
        <v>86</v>
      </c>
      <c r="U7" s="94">
        <f>SUM(0,IF(E6="1° PP - 1°Pa",+1,0), IF(E7="1° PP - 1°Pa",+1,0), IF(E8="1° PP - 1°Pa",+1,0), IF(E9="1° PP - 1°Pa",+1,0), IF(E10="1° PP - 1°Pa",+1,0), IF(E11="1° PP - 1°Pa",+1,0), IF(E12="1° PP - 1°Pa",+1,0), IF(E13="1° PP - 1°Pa",+1,0), IF(E14="1° PP - 1°Pa",+1,0), IF(E15="1° PP - 1°Pa",+1,0), IF(E16="1° PP - 1°Pa",+1,0), IF(E17="1° PP - 1°Pa",+1,0), IF(E18="1° PP - 1°Pa",+1,0), IF(E19="1° PP - 1°Pa",+1,0), IF(E20="1° PP - 1°Pa",+1,0), IF(E21="1° PP - 1°Pa",+1,0), IF(E22="1° PP - 1°Pa",+1,0), IF(E23="1° PP - 1°Pa",+1,0), IF(E24="1° PP - 1°Pa",+1,0), IF(E25="1° PP - 1°Pa",+1,0), IF(E26="1° PP - 1°Pa",+1,0), IF(E27="1° PP - 1°Pa",+1,0), IF(E28="1° PP - 1°Pa",+1,0), IF(E29="1° PP - 1°Pa",+1,0), IF(E30="1° PP - 1°Pa",+1,0), IF(E31="1° PP - 1°Pa",+1,0), IF(E32="1° PP - 1°Pa",+1,0), IF(E33="1° PP - 1°Pa",+1,0), IF(E34="1° PP - 1°Pa",+1,0), IF(E35="1° PP - 1°Pa",+1,0), IF(E36="1° PP - 1°Pa",+1,0), IF(E37="1° PP - 1°Pa",+1,0), IF(E38="1° PP - 1°Pa",+1,0), IF(E39="1° PP - 1°Pa",+1,0), IF(E40="1° PP - 1°Pa",+1,0), IF(E41="1° PP - 1°Pa",+1,0), IF(E42="1° PP - 1°Pa",+1,0), IF(E43="1° PP - 1°Pa",+1,0), IF(E44="1° PP - 1°Pa",+1,0), IF(E45="1° PP - 1°Pa",+1,0), IF(E46="1° PP - 1°Pa",+1,0), IF(E47="1° PP - 1°Pa",+1,0), IF(E48="1° PP - 1°Pa",+1,0), IF(E49="1° PP - 1°Pa",+1,0), IF(E50="1° PP - 1°Pa",+1,0), IF(E51="1° PP - 1°Pa",+1,0), IF(E52="1° PP - 1°Pa",+1,0), IF(E53="1° PP - 1°Pa",+1,0), IF(E54="1° PP - 1°Pa",+1,0), IF(E55="1° PP - 1°Pa",+1,0), IF(E56="1° PP - 1°Pa",+1,0), IF(E57="1° PP - 1°Pa",+1,0), IF(E58="1° PP - 1°Pa",+1,0), IF(E59="1° PP - 1°Pa",+1,0), IF(E60="1° PP - 1°Pa",+1,0), IF(E61="1° PP - 1°Pa",+1,0), IF(E62="1° PP - 1°Pa",+1,0), IF(E63="1° PP - 1°Pa",+1,0), IF(E64="1° PP - 1°Pa",+1,0), IF(E65="1° PP - 1°Pa",+1,0), IF(E66="1° PP - 1°Pa",+1,0), IF(E67="1° PP - 1°Pa",+1,0), IF(E68="1° PP - 1°Pa",+1,0), IF(E69="1° PP - 1°Pa",+1,0), IF(E70="1° PP - 1°Pa",+1,0), IF(E71="1° PP - 1°Pa",+1,0), IF(E72="1° PP - 1°Pa",+1,0), IF(E73="1° PP - 1°Pa",+1,0), IF(E74="1° PP - 1°Pa",+1,0), IF(E75="1° PP - 1°Pa",+1,0), IF(E76="1° PP - 1°Pa",+1,0), IF(E77="1° PP - 1°Pa",+1,0), IF(E78="1° PP - 1°Pa",+1,0), IF(E79="1° PP - 1°Pa",+1,0), IF(E80="1° PP - 1°Pa",+1,0), IF(E81="1° PP - 1°Pa",+1,0), IF(E82="1° PP - 1°Pa",+1,0), IF(E83="1° PP - 1°Pa",+1,0), IF(E84="1° PP - 1°Pa",+1,0), IF(E85="1° PP - 1°Pa",+1,0), IF(E86="1° PP - 1°Pa",+1,0), IF(E87="1° PP - 1°Pa",+1,0), IF(E88="1° PP - 1°Pa",+1,0), IF(E89="1° PP - 1°Pa",+1,0), IF(E90="1° PP - 1°Pa",+1,0), IF(E91="1° PP - 1°Pa",+1,0), IF(E92="1° PP - 1°Pa",+1,0), IF(E93="1° PP - 1°Pa",+1,0), IF(E94="1° PP - 1°Pa",+1,0), IF(E95="1° PP - 1°Pa",+1,0), IF(E96="1° PP - 1°Pa",+1,0), IF(E97="1° PP - 1°Pa",+1,0), IF(E98="1° PP - 1°Pa",+1,0), IF(E99="1° PP - 1°Pa",+1,0), IF(E100="1° PP - 1°Pa",+1,0), IF(E101="1° PP - 1°Pa",+1,0), IF(E102="1° PP - 1°Pa",+1,0), IF(E103="1° PP - 1°Pa",+1,0), IF(E104="1° PP - 1°Pa",+1,0))</f>
        <v>8</v>
      </c>
    </row>
    <row r="8" ht="15.75" customHeight="1">
      <c r="A8" s="114">
        <f t="shared" si="1"/>
        <v>3</v>
      </c>
      <c r="B8" s="114">
        <f t="shared" si="2"/>
        <v>8</v>
      </c>
      <c r="C8" s="107" t="s">
        <v>54</v>
      </c>
      <c r="D8" s="115" t="s">
        <v>103</v>
      </c>
      <c r="E8" s="109" t="s">
        <v>50</v>
      </c>
      <c r="F8" s="115" t="s">
        <v>51</v>
      </c>
      <c r="G8" s="115" t="s">
        <v>24</v>
      </c>
      <c r="H8" s="115" t="s">
        <v>24</v>
      </c>
      <c r="I8" s="115" t="s">
        <v>21</v>
      </c>
      <c r="J8" s="115" t="s">
        <v>21</v>
      </c>
      <c r="K8" s="115"/>
      <c r="L8" s="138"/>
      <c r="M8" s="115"/>
      <c r="N8" s="115"/>
      <c r="O8" s="115"/>
      <c r="P8" s="115"/>
      <c r="Q8" s="118">
        <f t="shared" si="3"/>
        <v>0.5</v>
      </c>
      <c r="R8" s="158" t="s">
        <v>306</v>
      </c>
      <c r="S8" s="94">
        <f>SUM(0,IF(E1="Reserva",+1,0), IF(E2="Reserva",+1,0), IF(E3="Reserva",+1,0), IF(E4="Reserva",+1,0), IF(E5="Reserva",+1,0), IF(E6="Reserva",+1,0), IF(E7="Reserva",+1,0), IF(E8="Reserva",+1,0), IF(E9="Reserva",+1,0), IF(E10="Reserva",+1,0), IF(E11="Reserva",+1,0), IF(E12="Reserva",+1,0), IF(E13="Reserva",+1,0), IF(E14="Reserva",+1,0), IF(E15="Reserva",+1,0), IF(E16="Reserva",+1,0), IF(E17="Reserva",+1,0), IF(E18="Reserva",+1,0), IF(E19="Reserva",+1,0), IF(E20="Reserva",+1,0), IF(E21="Reserva",+1,0), IF(E22="Reserva",+1,0), IF(E23="Reserva",+1,0), IF(E24="Reserva",+1,0), IF(E25="Reserva",+1,0), IF(E26="Reserva",+1,0), IF(E27="Reserva",+1,0), IF(E28="Reserva",+1,0), IF(E29="Reserva",+1,0), IF(E30="Reserva",+1,0), IF(E31="Reserva",+1,0), IF(E32="Reserva",+1,0), IF(E33="Reserva",+1,0), IF(E34="Reserva",+1,0), IF(E35="Reserva",+1,0), IF(E36="Reserva",+1,0), IF(E37="Reserva",+1,0), IF(E38="Reserva",+1,0), IF(E39="Reserva",+1,0), IF(E40="Reserva",+1,0), IF(E41="Reserva",+1,0), IF(E42="Reserva",+1,0), IF(E43="Reserva",+1,0), IF(E44="Reserva",+1,0), IF(E45="Reserva",+1,0), IF(E46="Reserva",+1,0), IF(E47="Reserva",+1,0), IF(E48="Reserva",+1,0), IF(E49="Reserva",+1,0), IF(E50="Reserva",+1,0), IF(E51="Reserva",+1,0), IF(E52="Reserva",+1,0), IF(E53="Reserva",+1,0), IF(E54="Reserva",+1,0), IF(E55="Reserva",+1,0), IF(E56="Reserva",+1,0), IF(E57="Reserva",+1,0), IF(E58="Reserva",+1,0), IF(E59="Reserva",+1,0), IF(E60="Reserva",+1,0), IF(E61="Reserva",+1,0), IF(E62="Reserva",+1,0), IF(E63="Reserva",+1,0), IF(E64="Reserva",+1,0), IF(E65="Reserva",+1,0), IF(E66="Reserva",+1,0), IF(E67="Reserva",+1,0), IF(E68="Reserva",+1,0), IF(E69="Reserva",+1,0), IF(E70="Reserva",+1,0), IF(E71="Reserva",+1,0), IF(E72="Reserva",+1,0), IF(E73="Reserva",+1,0), IF(E74="Reserva",+1,0), IF(E75="Reserva",+1,0), IF(E76="Reserva",+1,0), IF(E77="Reserva",+1,0), IF(E78="Reserva",+1,0), IF(E79="Reserva",+1,0), IF(E80="Reserva",+1,0), IF(E81="Reserva",+1,0), IF(E82="Reserva",+1,0), IF(E83="Reserva",+1,0), IF(E84="Reserva",+1,0), IF(E85="Reserva",+1,0), IF(E86="Reserva",+1,0), IF(E87="Reserva",+1,0), IF(E88="Reserva",+1,0), IF(E89="Reserva",+1,0), IF(E90="Reserva",+1,0), IF(E91="Reserva",+1,0), IF(E92="Reserva",+1,0), IF(E93="Reserva",+1,0), IF(E94="Reserva",+1,0), IF(E95="Reserva",+1,0), IF(E96="Reserva",+1,0), IF(E97="Reserva",+1,0), IF(E98="Reserva",+1,0), IF(E99="Reserva",+1,0))</f>
        <v>17</v>
      </c>
      <c r="T8" s="152" t="s">
        <v>89</v>
      </c>
      <c r="U8" s="94">
        <f>SUM(0,IF(E7="Espectro",+1,0), IF(E8="Espectro",+1,0), IF(E9="Espectro",+1,0), IF(E10="Espectro",+1,0), IF(E11="Espectro",+1,0), IF(E12="Espectro",+1,0), IF(E13="Espectro",+1,0), IF(E14="Espectro",+1,0), IF(E15="Espectro",+1,0), IF(E16="Espectro",+1,0), IF(E17="Espectro",+1,0), IF(E18="Espectro",+1,0), IF(E19="Espectro",+1,0), IF(E20="Espectro",+1,0), IF(E21="Espectro",+1,0), IF(E22="Espectro",+1,0), IF(E23="Espectro",+1,0), IF(E24="Espectro",+1,0), IF(E25="Espectro",+1,0), IF(E26="Espectro",+1,0), IF(E27="Espectro",+1,0), IF(E28="Espectro",+1,0), IF(E29="Espectro",+1,0), IF(E30="Espectro",+1,0), IF(E31="Espectro",+1,0), IF(E32="Espectro",+1,0), IF(E33="Espectro",+1,0), IF(E34="Espectro",+1,0), IF(E35="Espectro",+1,0), IF(E36="Espectro",+1,0), IF(E37="Espectro",+1,0), IF(E38="Espectro",+1,0), IF(E39="Espectro",+1,0), IF(E40="Espectro",+1,0), IF(E41="Espectro",+1,0), IF(E42="Espectro",+1,0), IF(E43="Espectro",+1,0), IF(E44="Espectro",+1,0), IF(E45="Espectro",+1,0), IF(E46="Espectro",+1,0), IF(E47="Espectro",+1,0), IF(E48="Espectro",+1,0), IF(E49="Espectro",+1,0), IF(E50="Espectro",+1,0), IF(E51="Espectro",+1,0), IF(E52="Espectro",+1,0), IF(E53="Espectro",+1,0), IF(E54="Espectro",+1,0), IF(E55="Espectro",+1,0), IF(E56="Espectro",+1,0), IF(E57="Espectro",+1,0), IF(E58="Espectro",+1,0), IF(E59="Espectro",+1,0), IF(E60="Espectro",+1,0), IF(E61="Espectro",+1,0), IF(E62="Espectro",+1,0), IF(E63="Espectro",+1,0), IF(E64="Espectro",+1,0), IF(E65="Espectro",+1,0), IF(E66="Espectro",+1,0), IF(E67="Espectro",+1,0), IF(E68="Espectro",+1,0), IF(E69="Espectro",+1,0), IF(E70="Espectro",+1,0), IF(E71="Espectro",+1,0), IF(E72="Espectro",+1,0), IF(E73="Espectro",+1,0), IF(E74="Espectro",+1,0), IF(E75="Espectro",+1,0), IF(E76="Espectro",+1,0), IF(E77="Espectro",+1,0), IF(E78="Espectro",+1,0), IF(E79="Espectro",+1,0), IF(E80="Espectro",+1,0), IF(E81="Espectro",+1,0), IF(E82="Espectro",+1,0), IF(E83="Espectro",+1,0), IF(E84="Espectro",+1,0), IF(E85="Espectro",+1,0), IF(E86="Espectro",+1,0), IF(E87="Espectro",+1,0), IF(E88="Espectro",+1,0), IF(E89="Espectro",+1,0), IF(E90="Espectro",+1,0), IF(E91="Espectro",+1,0), IF(E92="Espectro",+1,0), IF(E93="Espectro",+1,0), IF(E94="Espectro",+1,0), IF(E95="Espectro",+1,0), IF(E96="Espectro",+1,0), IF(E97="Espectro",+1,0), IF(E98="Espectro",+1,0), IF(E99="Espectro",+1,0), IF(E100="Espectro",+1,0), IF(E101="Espectro",+1,0), IF(E102="Espectro",+1,0), IF(E103="Espectro",+1,0), IF(E104="Espectro",+1,0), IF(E105="Espectro",+1,0))</f>
        <v>3</v>
      </c>
    </row>
    <row r="9" ht="15.75" customHeight="1">
      <c r="A9" s="114">
        <f t="shared" si="1"/>
        <v>3</v>
      </c>
      <c r="B9" s="114">
        <f t="shared" si="2"/>
        <v>10</v>
      </c>
      <c r="C9" s="107" t="s">
        <v>84</v>
      </c>
      <c r="D9" s="115" t="s">
        <v>305</v>
      </c>
      <c r="E9" s="109" t="s">
        <v>50</v>
      </c>
      <c r="F9" s="115" t="s">
        <v>57</v>
      </c>
      <c r="G9" s="115" t="s">
        <v>21</v>
      </c>
      <c r="H9" s="115" t="s">
        <v>21</v>
      </c>
      <c r="I9" s="115" t="s">
        <v>21</v>
      </c>
      <c r="J9" s="115" t="s">
        <v>21</v>
      </c>
      <c r="K9" s="115"/>
      <c r="L9" s="94"/>
      <c r="M9" s="115"/>
      <c r="N9" s="115"/>
      <c r="O9" s="115"/>
      <c r="P9" s="115"/>
      <c r="Q9" s="118">
        <f t="shared" si="3"/>
        <v>1</v>
      </c>
      <c r="T9" s="152" t="s">
        <v>92</v>
      </c>
      <c r="U9" s="94">
        <f>SUM(0,IF(E8="Caballeria",+1,0), IF(E9="Caballeria",+1,0), IF(E10="Caballeria",+1,0), IF(E11="Caballeria",+1,0), IF(E12="Caballeria",+1,0), IF(E13="Caballeria",+1,0), IF(E14="Caballeria",+1,0), IF(E15="Caballeria",+1,0), IF(E16="Caballeria",+1,0), IF(E17="Caballeria",+1,0), IF(E18="Caballeria",+1,0), IF(E19="Caballeria",+1,0), IF(E20="Caballeria",+1,0), IF(E21="Caballeria",+1,0), IF(E22="Caballeria",+1,0), IF(E23="Caballeria",+1,0), IF(E24="Caballeria",+1,0), IF(E25="Caballeria",+1,0), IF(E26="Caballeria",+1,0), IF(E27="Caballeria",+1,0), IF(E28="Caballeria",+1,0), IF(E29="Caballeria",+1,0), IF(E30="Caballeria",+1,0), IF(E31="Caballeria",+1,0), IF(E32="Caballeria",+1,0), IF(E33="Caballeria",+1,0), IF(E34="Caballeria",+1,0), IF(E35="Caballeria",+1,0), IF(E36="Caballeria",+1,0), IF(E37="Caballeria",+1,0), IF(E38="Caballeria",+1,0), IF(E39="Caballeria",+1,0), IF(E40="Caballeria",+1,0), IF(E41="Caballeria",+1,0), IF(E42="Caballeria",+1,0), IF(E43="Caballeria",+1,0), IF(E44="Caballeria",+1,0), IF(E45="Caballeria",+1,0), IF(E46="Caballeria",+1,0), IF(E47="Caballeria",+1,0), IF(E48="Caballeria",+1,0), IF(E49="Caballeria",+1,0), IF(E50="Caballeria",+1,0), IF(E51="Caballeria",+1,0), IF(E52="Caballeria",+1,0), IF(E53="Caballeria",+1,0), IF(E54="Caballeria",+1,0), IF(E55="Caballeria",+1,0), IF(E56="Caballeria",+1,0), IF(E57="Caballeria",+1,0), IF(E58="Caballeria",+1,0), IF(E59="Caballeria",+1,0), IF(E60="Caballeria",+1,0), IF(E61="Caballeria",+1,0), IF(E62="Caballeria",+1,0), IF(E63="Caballeria",+1,0), IF(E64="Caballeria",+1,0), IF(E65="Caballeria",+1,0), IF(E66="Caballeria",+1,0), IF(E67="Caballeria",+1,0), IF(E68="Caballeria",+1,0), IF(E69="Caballeria",+1,0), IF(E70="Caballeria",+1,0), IF(E71="Caballeria",+1,0), IF(E72="Caballeria",+1,0), IF(E73="Caballeria",+1,0), IF(E74="Caballeria",+1,0), IF(E75="Caballeria",+1,0), IF(E76="Caballeria",+1,0), IF(E77="Caballeria",+1,0), IF(E78="Caballeria",+1,0), IF(E79="Caballeria",+1,0), IF(E80="Caballeria",+1,0), IF(E81="Caballeria",+1,0), IF(E82="Caballeria",+1,0), IF(E83="Caballeria",+1,0), IF(E84="Caballeria",+1,0), IF(E85="Caballeria",+1,0), IF(E86="Caballeria",+1,0), IF(E87="Caballeria",+1,0), IF(E88="Caballeria",+1,0), IF(E89="Caballeria",+1,0), IF(E90="Caballeria",+1,0), IF(E91="Caballeria",+1,0), IF(E92="Caballeria",+1,0), IF(E93="Caballeria",+1,0), IF(E94="Caballeria",+1,0), IF(E95="Caballeria",+1,0), IF(E96="Caballeria",+1,0), IF(E97="Caballeria",+1,0), IF(E98="Caballeria",+1,0), IF(E99="Caballeria",+1,0), IF(E100="Caballeria",+1,0), IF(E101="Caballeria",+1,0), IF(E102="Caballeria",+1,0), IF(E103="Caballeria",+1,0), IF(E104="Caballeria",+1,0), IF(E105="Caballeria",+1,0), IF(E106="Caballeria",+1,0))</f>
        <v>4</v>
      </c>
    </row>
    <row r="10" ht="15.75" customHeight="1">
      <c r="A10" s="114">
        <f t="shared" si="1"/>
        <v>3</v>
      </c>
      <c r="B10" s="114">
        <f t="shared" si="2"/>
        <v>10</v>
      </c>
      <c r="C10" s="107" t="s">
        <v>84</v>
      </c>
      <c r="D10" s="115" t="s">
        <v>83</v>
      </c>
      <c r="E10" s="109" t="s">
        <v>50</v>
      </c>
      <c r="F10" s="115" t="s">
        <v>63</v>
      </c>
      <c r="G10" s="115" t="s">
        <v>21</v>
      </c>
      <c r="H10" s="115" t="s">
        <v>21</v>
      </c>
      <c r="I10" s="115" t="s">
        <v>24</v>
      </c>
      <c r="J10" s="115" t="s">
        <v>24</v>
      </c>
      <c r="K10" s="115"/>
      <c r="L10" s="115"/>
      <c r="M10" s="115"/>
      <c r="N10" s="115"/>
      <c r="O10" s="115"/>
      <c r="P10" s="115"/>
      <c r="Q10" s="118">
        <f t="shared" si="3"/>
        <v>0.5</v>
      </c>
      <c r="T10" s="152" t="s">
        <v>95</v>
      </c>
      <c r="U10" s="94">
        <f>SUM(0,IF(E9="FAZR",+1,0), IF(E10="FAZR",+1,0), IF(E11="FAZR",+1,0), IF(E12="FAZR",+1,0), IF(E13="FAZR",+1,0), IF(E14="FAZR",+1,0), IF(E15="FAZR",+1,0), IF(E16="FAZR",+1,0), IF(E17="FAZR",+1,0), IF(E18="FAZR",+1,0), IF(E19="FAZR",+1,0), IF(E20="FAZR",+1,0), IF(E21="FAZR",+1,0), IF(E22="FAZR",+1,0), IF(E23="FAZR",+1,0), IF(E24="FAZR",+1,0), IF(E25="FAZR",+1,0), IF(E26="FAZR",+1,0), IF(E27="FAZR",+1,0), IF(E28="FAZR",+1,0), IF(E29="FAZR",+1,0), IF(E30="FAZR",+1,0), IF(E31="FAZR",+1,0), IF(E32="FAZR",+1,0), IF(E33="FAZR",+1,0), IF(E34="FAZR",+1,0), IF(E35="FAZR",+1,0), IF(E36="FAZR",+1,0), IF(E37="FAZR",+1,0), IF(E38="FAZR",+1,0), IF(E39="FAZR",+1,0), IF(E40="FAZR",+1,0), IF(E41="FAZR",+1,0), IF(E42="FAZR",+1,0), IF(E43="FAZR",+1,0), IF(E44="FAZR",+1,0), IF(E45="FAZR",+1,0), IF(E46="FAZR",+1,0), IF(E47="FAZR",+1,0), IF(E48="FAZR",+1,0), IF(E49="FAZR",+1,0), IF(E50="FAZR",+1,0), IF(E51="FAZR",+1,0), IF(E52="FAZR",+1,0), IF(E53="FAZR",+1,0), IF(E54="FAZR",+1,0), IF(E55="FAZR",+1,0), IF(E56="FAZR",+1,0), IF(E57="FAZR",+1,0), IF(E58="FAZR",+1,0), IF(E59="FAZR",+1,0), IF(E60="FAZR",+1,0), IF(E61="FAZR",+1,0), IF(E62="FAZR",+1,0), IF(E63="FAZR",+1,0), IF(E64="FAZR",+1,0), IF(E65="FAZR",+1,0), IF(E66="FAZR",+1,0), IF(E67="FAZR",+1,0), IF(E68="FAZR",+1,0), IF(E69="FAZR",+1,0), IF(E70="FAZR",+1,0), IF(E71="FAZR",+1,0), IF(E72="FAZR",+1,0), IF(E73="FAZR",+1,0), IF(E74="FAZR",+1,0), IF(E75="FAZR",+1,0), IF(E76="FAZR",+1,0), IF(E77="FAZR",+1,0), IF(E78="FAZR",+1,0), IF(E79="FAZR",+1,0), IF(E80="FAZR",+1,0), IF(E81="FAZR",+1,0), IF(E82="FAZR",+1,0), IF(E83="FAZR",+1,0), IF(E84="FAZR",+1,0), IF(E85="FAZR",+1,0), IF(E86="FAZR",+1,0), IF(E87="FAZR",+1,0), IF(E88="FAZR",+1,0), IF(E89="FAZR",+1,0), IF(E90="FAZR",+1,0), IF(E91="FAZR",+1,0), IF(E92="FAZR",+1,0), IF(E93="FAZR",+1,0), IF(E94="FAZR",+1,0), IF(E95="FAZR",+1,0), IF(E96="FAZR",+1,0), IF(E97="FAZR",+1,0), IF(E98="FAZR",+1,0), IF(E99="FAZR",+1,0), IF(E100="FAZR",+1,0), IF(E101="FAZR",+1,0), IF(E102="FAZR",+1,0), IF(E103="FAZR",+1,0), IF(E104="FAZR",+1,0), IF(E105="FAZR",+1,0), IF(E106="FAZR",+1,0), IF(E107="FAZR",+1,0))</f>
        <v>4</v>
      </c>
    </row>
    <row r="11" ht="15.75" customHeight="1">
      <c r="A11" s="114">
        <f t="shared" si="1"/>
        <v>3</v>
      </c>
      <c r="B11" s="114">
        <f t="shared" si="2"/>
        <v>10</v>
      </c>
      <c r="C11" s="107" t="s">
        <v>84</v>
      </c>
      <c r="D11" s="115" t="s">
        <v>198</v>
      </c>
      <c r="E11" s="109" t="s">
        <v>50</v>
      </c>
      <c r="F11" s="115" t="s">
        <v>68</v>
      </c>
      <c r="G11" s="115" t="s">
        <v>21</v>
      </c>
      <c r="H11" s="115" t="s">
        <v>21</v>
      </c>
      <c r="I11" s="115" t="s">
        <v>21</v>
      </c>
      <c r="J11" s="115" t="s">
        <v>21</v>
      </c>
      <c r="K11" s="115"/>
      <c r="L11" s="115"/>
      <c r="M11" s="115"/>
      <c r="N11" s="115"/>
      <c r="O11" s="115"/>
      <c r="P11" s="115"/>
      <c r="Q11" s="118">
        <f t="shared" si="3"/>
        <v>1</v>
      </c>
      <c r="R11" s="162" t="s">
        <v>167</v>
      </c>
      <c r="S11" s="5"/>
      <c r="T11" s="138"/>
      <c r="U11" s="100" t="s">
        <v>345</v>
      </c>
    </row>
    <row r="12" ht="15.75" customHeight="1">
      <c r="A12" s="114">
        <f t="shared" si="1"/>
        <v>3</v>
      </c>
      <c r="B12" s="114">
        <f t="shared" si="2"/>
        <v>11</v>
      </c>
      <c r="C12" s="107" t="s">
        <v>79</v>
      </c>
      <c r="D12" s="115" t="s">
        <v>346</v>
      </c>
      <c r="E12" s="109" t="s">
        <v>50</v>
      </c>
      <c r="F12" s="115" t="s">
        <v>68</v>
      </c>
      <c r="G12" s="115" t="s">
        <v>24</v>
      </c>
      <c r="H12" s="115" t="s">
        <v>24</v>
      </c>
      <c r="I12" s="115" t="s">
        <v>24</v>
      </c>
      <c r="J12" s="115" t="s">
        <v>37</v>
      </c>
      <c r="K12" s="115"/>
      <c r="L12" s="115"/>
      <c r="M12" s="115"/>
      <c r="N12" s="115"/>
      <c r="O12" s="115"/>
      <c r="P12" s="115"/>
      <c r="Q12" s="118">
        <f t="shared" si="3"/>
        <v>0</v>
      </c>
      <c r="R12" s="133" t="s">
        <v>9</v>
      </c>
      <c r="S12" s="5"/>
      <c r="T12" s="115" t="s">
        <v>286</v>
      </c>
      <c r="U12" s="115" t="s">
        <v>171</v>
      </c>
      <c r="V12" s="115" t="s">
        <v>176</v>
      </c>
    </row>
    <row r="13" ht="15.75" customHeight="1">
      <c r="A13" s="114">
        <f t="shared" si="1"/>
        <v>3</v>
      </c>
      <c r="B13" s="114">
        <f t="shared" si="2"/>
        <v>11</v>
      </c>
      <c r="C13" s="107" t="s">
        <v>79</v>
      </c>
      <c r="D13" s="115" t="s">
        <v>294</v>
      </c>
      <c r="E13" s="109" t="s">
        <v>50</v>
      </c>
      <c r="F13" s="115" t="s">
        <v>68</v>
      </c>
      <c r="G13" s="115" t="s">
        <v>24</v>
      </c>
      <c r="H13" s="115" t="s">
        <v>24</v>
      </c>
      <c r="I13" s="115" t="s">
        <v>24</v>
      </c>
      <c r="J13" s="115" t="s">
        <v>21</v>
      </c>
      <c r="K13" s="115"/>
      <c r="L13" s="115"/>
      <c r="M13" s="115"/>
      <c r="N13" s="115"/>
      <c r="O13" s="115"/>
      <c r="P13" s="115"/>
      <c r="Q13" s="118">
        <f t="shared" si="3"/>
        <v>0.25</v>
      </c>
      <c r="R13" s="133" t="s">
        <v>352</v>
      </c>
      <c r="S13" s="5"/>
      <c r="T13" s="134">
        <v>43146.0</v>
      </c>
      <c r="U13" s="106" t="s">
        <v>182</v>
      </c>
      <c r="V13" s="106" t="s">
        <v>348</v>
      </c>
    </row>
    <row r="14" ht="15.75" customHeight="1">
      <c r="A14" s="114">
        <f t="shared" si="1"/>
        <v>3</v>
      </c>
      <c r="B14" s="114">
        <f t="shared" si="2"/>
        <v>11</v>
      </c>
      <c r="C14" s="107" t="s">
        <v>79</v>
      </c>
      <c r="D14" s="115" t="s">
        <v>353</v>
      </c>
      <c r="E14" s="109" t="s">
        <v>50</v>
      </c>
      <c r="F14" s="115" t="s">
        <v>68</v>
      </c>
      <c r="G14" s="115" t="s">
        <v>24</v>
      </c>
      <c r="H14" s="115" t="s">
        <v>24</v>
      </c>
      <c r="I14" s="115" t="s">
        <v>37</v>
      </c>
      <c r="J14" s="115" t="s">
        <v>37</v>
      </c>
      <c r="K14" s="115"/>
      <c r="L14" s="115"/>
      <c r="M14" s="115"/>
      <c r="N14" s="115"/>
      <c r="O14" s="115"/>
      <c r="P14" s="115"/>
      <c r="Q14" s="118">
        <f t="shared" si="3"/>
        <v>0</v>
      </c>
      <c r="R14" s="133" t="s">
        <v>318</v>
      </c>
      <c r="S14" s="5"/>
      <c r="T14" s="134">
        <v>43159.0</v>
      </c>
      <c r="U14" s="106" t="s">
        <v>182</v>
      </c>
      <c r="V14" s="106" t="s">
        <v>348</v>
      </c>
    </row>
    <row r="15" ht="15.75" customHeight="1">
      <c r="A15" s="114">
        <f t="shared" si="1"/>
        <v>3</v>
      </c>
      <c r="B15" s="114">
        <f t="shared" si="2"/>
        <v>10</v>
      </c>
      <c r="C15" s="107" t="s">
        <v>84</v>
      </c>
      <c r="D15" s="115" t="s">
        <v>67</v>
      </c>
      <c r="E15" s="109" t="s">
        <v>50</v>
      </c>
      <c r="F15" s="115" t="s">
        <v>85</v>
      </c>
      <c r="G15" s="115" t="s">
        <v>24</v>
      </c>
      <c r="H15" s="115" t="s">
        <v>21</v>
      </c>
      <c r="I15" s="115" t="s">
        <v>21</v>
      </c>
      <c r="J15" s="115" t="s">
        <v>24</v>
      </c>
      <c r="K15" s="115"/>
      <c r="L15" s="115"/>
      <c r="M15" s="115"/>
      <c r="N15" s="115"/>
      <c r="O15" s="115"/>
      <c r="P15" s="115"/>
      <c r="Q15" s="118">
        <f t="shared" si="3"/>
        <v>0.5</v>
      </c>
      <c r="R15" s="133"/>
      <c r="S15" s="5"/>
      <c r="T15" s="185"/>
      <c r="U15" s="106"/>
      <c r="V15" s="106"/>
    </row>
    <row r="16" ht="15.75" customHeight="1">
      <c r="A16" s="114">
        <f t="shared" si="1"/>
        <v>3</v>
      </c>
      <c r="B16" s="114">
        <f t="shared" si="2"/>
        <v>11</v>
      </c>
      <c r="C16" s="107" t="s">
        <v>79</v>
      </c>
      <c r="D16" s="115" t="s">
        <v>354</v>
      </c>
      <c r="E16" s="109" t="s">
        <v>50</v>
      </c>
      <c r="F16" s="115" t="s">
        <v>85</v>
      </c>
      <c r="G16" s="115" t="s">
        <v>33</v>
      </c>
      <c r="H16" s="115" t="s">
        <v>24</v>
      </c>
      <c r="I16" s="115" t="s">
        <v>24</v>
      </c>
      <c r="J16" s="115" t="s">
        <v>33</v>
      </c>
      <c r="K16" s="115"/>
      <c r="L16" s="115"/>
      <c r="M16" s="115"/>
      <c r="N16" s="115"/>
      <c r="O16" s="115"/>
      <c r="P16" s="115"/>
      <c r="Q16" s="118">
        <f t="shared" si="3"/>
        <v>0</v>
      </c>
      <c r="R16" s="133" t="s">
        <v>310</v>
      </c>
      <c r="S16" s="5"/>
      <c r="T16" s="134">
        <v>43182.0</v>
      </c>
      <c r="U16" s="106" t="s">
        <v>182</v>
      </c>
      <c r="V16" s="106" t="s">
        <v>348</v>
      </c>
    </row>
    <row r="17" ht="15.75" customHeight="1">
      <c r="A17" s="114">
        <f t="shared" si="1"/>
        <v>3</v>
      </c>
      <c r="B17" s="114">
        <f t="shared" si="2"/>
        <v>11</v>
      </c>
      <c r="C17" s="107" t="s">
        <v>79</v>
      </c>
      <c r="D17" s="115" t="s">
        <v>355</v>
      </c>
      <c r="E17" s="109" t="s">
        <v>50</v>
      </c>
      <c r="F17" s="115" t="s">
        <v>85</v>
      </c>
      <c r="G17" s="115" t="s">
        <v>339</v>
      </c>
      <c r="H17" s="115" t="s">
        <v>339</v>
      </c>
      <c r="I17" s="115" t="s">
        <v>21</v>
      </c>
      <c r="J17" s="115" t="s">
        <v>21</v>
      </c>
      <c r="K17" s="115"/>
      <c r="L17" s="115"/>
      <c r="M17" s="115"/>
      <c r="N17" s="115"/>
      <c r="O17" s="115"/>
      <c r="P17" s="115"/>
      <c r="Q17" s="118">
        <f t="shared" si="3"/>
        <v>0.5</v>
      </c>
      <c r="R17" s="133" t="s">
        <v>356</v>
      </c>
      <c r="S17" s="5"/>
      <c r="T17" s="134">
        <v>43179.0</v>
      </c>
      <c r="U17" s="106" t="s">
        <v>182</v>
      </c>
      <c r="V17" s="106" t="s">
        <v>348</v>
      </c>
    </row>
    <row r="18" ht="15.75" customHeight="1">
      <c r="A18" s="114">
        <f t="shared" si="1"/>
        <v>3</v>
      </c>
      <c r="B18" s="114">
        <f t="shared" si="2"/>
        <v>11</v>
      </c>
      <c r="C18" s="107" t="s">
        <v>79</v>
      </c>
      <c r="D18" s="115" t="s">
        <v>165</v>
      </c>
      <c r="E18" s="109" t="s">
        <v>50</v>
      </c>
      <c r="F18" s="115" t="s">
        <v>85</v>
      </c>
      <c r="G18" s="115" t="s">
        <v>21</v>
      </c>
      <c r="H18" s="115" t="s">
        <v>21</v>
      </c>
      <c r="I18" s="115" t="s">
        <v>21</v>
      </c>
      <c r="J18" s="115" t="s">
        <v>21</v>
      </c>
      <c r="K18" s="115"/>
      <c r="L18" s="115"/>
      <c r="M18" s="115"/>
      <c r="N18" s="115"/>
      <c r="O18" s="115"/>
      <c r="P18" s="115"/>
      <c r="Q18" s="118">
        <f t="shared" si="3"/>
        <v>1</v>
      </c>
      <c r="R18" s="133" t="s">
        <v>311</v>
      </c>
      <c r="S18" s="5"/>
      <c r="T18" s="134">
        <v>43185.0</v>
      </c>
      <c r="U18" s="106" t="s">
        <v>182</v>
      </c>
      <c r="V18" s="106" t="s">
        <v>348</v>
      </c>
    </row>
    <row r="19" ht="15.75" customHeight="1">
      <c r="A19" s="114">
        <f t="shared" si="1"/>
        <v>4</v>
      </c>
      <c r="B19" s="114">
        <f t="shared" si="2"/>
        <v>8</v>
      </c>
      <c r="C19" s="107" t="s">
        <v>54</v>
      </c>
      <c r="D19" s="115" t="s">
        <v>114</v>
      </c>
      <c r="E19" s="109" t="s">
        <v>115</v>
      </c>
      <c r="F19" s="115" t="s">
        <v>51</v>
      </c>
      <c r="G19" s="115" t="s">
        <v>24</v>
      </c>
      <c r="H19" s="115" t="s">
        <v>21</v>
      </c>
      <c r="I19" s="115" t="s">
        <v>21</v>
      </c>
      <c r="J19" s="115" t="s">
        <v>21</v>
      </c>
      <c r="K19" s="115"/>
      <c r="L19" s="115"/>
      <c r="M19" s="115"/>
      <c r="N19" s="115"/>
      <c r="O19" s="115"/>
      <c r="P19" s="115"/>
      <c r="Q19" s="118">
        <f t="shared" si="3"/>
        <v>0.75</v>
      </c>
      <c r="R19" s="133" t="s">
        <v>349</v>
      </c>
      <c r="S19" s="5"/>
      <c r="T19" s="134">
        <v>43167.0</v>
      </c>
      <c r="U19" s="106" t="s">
        <v>182</v>
      </c>
      <c r="V19" s="106" t="s">
        <v>348</v>
      </c>
    </row>
    <row r="20" ht="15.75" customHeight="1">
      <c r="A20" s="114">
        <f t="shared" si="1"/>
        <v>4</v>
      </c>
      <c r="B20" s="114">
        <f t="shared" si="2"/>
        <v>9</v>
      </c>
      <c r="C20" s="107" t="s">
        <v>64</v>
      </c>
      <c r="D20" s="115" t="s">
        <v>248</v>
      </c>
      <c r="E20" s="109" t="s">
        <v>115</v>
      </c>
      <c r="F20" s="115" t="s">
        <v>57</v>
      </c>
      <c r="G20" s="115" t="s">
        <v>21</v>
      </c>
      <c r="H20" s="115" t="s">
        <v>24</v>
      </c>
      <c r="I20" s="115" t="s">
        <v>21</v>
      </c>
      <c r="J20" s="115" t="s">
        <v>21</v>
      </c>
      <c r="K20" s="115"/>
      <c r="L20" s="115"/>
      <c r="M20" s="115"/>
      <c r="N20" s="115"/>
      <c r="O20" s="115"/>
      <c r="P20" s="115"/>
      <c r="Q20" s="118">
        <f t="shared" si="3"/>
        <v>0.75</v>
      </c>
      <c r="R20" s="133"/>
      <c r="S20" s="5"/>
      <c r="T20" s="134"/>
      <c r="U20" s="106"/>
      <c r="V20" s="106"/>
    </row>
    <row r="21" ht="15.75" customHeight="1">
      <c r="A21" s="114">
        <f t="shared" si="1"/>
        <v>4</v>
      </c>
      <c r="B21" s="114">
        <f t="shared" si="2"/>
        <v>9</v>
      </c>
      <c r="C21" s="107" t="s">
        <v>64</v>
      </c>
      <c r="D21" s="115" t="s">
        <v>226</v>
      </c>
      <c r="E21" s="109" t="s">
        <v>115</v>
      </c>
      <c r="F21" s="115" t="s">
        <v>63</v>
      </c>
      <c r="G21" s="115" t="s">
        <v>24</v>
      </c>
      <c r="H21" s="115" t="s">
        <v>21</v>
      </c>
      <c r="I21" s="115" t="s">
        <v>21</v>
      </c>
      <c r="J21" s="115" t="s">
        <v>21</v>
      </c>
      <c r="K21" s="115"/>
      <c r="L21" s="115"/>
      <c r="M21" s="115"/>
      <c r="N21" s="115"/>
      <c r="O21" s="115"/>
      <c r="P21" s="115"/>
      <c r="Q21" s="118">
        <f t="shared" si="3"/>
        <v>0.75</v>
      </c>
      <c r="R21" s="133"/>
      <c r="S21" s="5"/>
      <c r="T21" s="134"/>
      <c r="U21" s="106"/>
      <c r="V21" s="106"/>
    </row>
    <row r="22" ht="15.75" customHeight="1">
      <c r="A22" s="114">
        <f t="shared" si="1"/>
        <v>4</v>
      </c>
      <c r="B22" s="114">
        <f t="shared" si="2"/>
        <v>9</v>
      </c>
      <c r="C22" s="107" t="s">
        <v>64</v>
      </c>
      <c r="D22" s="115" t="s">
        <v>118</v>
      </c>
      <c r="E22" s="109" t="s">
        <v>115</v>
      </c>
      <c r="F22" s="115" t="s">
        <v>68</v>
      </c>
      <c r="G22" s="115" t="s">
        <v>21</v>
      </c>
      <c r="H22" s="115" t="s">
        <v>33</v>
      </c>
      <c r="I22" s="115" t="s">
        <v>33</v>
      </c>
      <c r="J22" s="115" t="s">
        <v>24</v>
      </c>
      <c r="K22" s="115"/>
      <c r="L22" s="115"/>
      <c r="M22" s="115"/>
      <c r="N22" s="115"/>
      <c r="O22" s="115"/>
      <c r="P22" s="115"/>
      <c r="Q22" s="118">
        <f t="shared" si="3"/>
        <v>0.25</v>
      </c>
      <c r="R22" s="133"/>
      <c r="S22" s="5"/>
      <c r="T22" s="134"/>
      <c r="U22" s="106"/>
      <c r="V22" s="106"/>
    </row>
    <row r="23" ht="15.75" customHeight="1">
      <c r="A23" s="114">
        <f t="shared" si="1"/>
        <v>4</v>
      </c>
      <c r="B23" s="114">
        <f t="shared" si="2"/>
        <v>10</v>
      </c>
      <c r="C23" s="107" t="s">
        <v>84</v>
      </c>
      <c r="D23" s="115" t="s">
        <v>141</v>
      </c>
      <c r="E23" s="109" t="s">
        <v>115</v>
      </c>
      <c r="F23" s="115" t="s">
        <v>68</v>
      </c>
      <c r="G23" s="115" t="s">
        <v>21</v>
      </c>
      <c r="H23" s="115" t="s">
        <v>21</v>
      </c>
      <c r="I23" s="115" t="s">
        <v>21</v>
      </c>
      <c r="J23" s="115" t="s">
        <v>24</v>
      </c>
      <c r="K23" s="115"/>
      <c r="L23" s="115"/>
      <c r="M23" s="115"/>
      <c r="N23" s="115"/>
      <c r="O23" s="115"/>
      <c r="P23" s="115"/>
      <c r="Q23" s="118">
        <f t="shared" si="3"/>
        <v>0.75</v>
      </c>
      <c r="R23" s="133"/>
      <c r="S23" s="5"/>
      <c r="T23" s="134"/>
      <c r="U23" s="106"/>
      <c r="V23" s="106"/>
    </row>
    <row r="24" ht="15.75" customHeight="1">
      <c r="A24" s="114">
        <f t="shared" si="1"/>
        <v>4</v>
      </c>
      <c r="B24" s="114">
        <f t="shared" si="2"/>
        <v>11</v>
      </c>
      <c r="C24" s="107" t="s">
        <v>79</v>
      </c>
      <c r="D24" s="115" t="s">
        <v>358</v>
      </c>
      <c r="E24" s="109" t="s">
        <v>115</v>
      </c>
      <c r="F24" s="115" t="s">
        <v>68</v>
      </c>
      <c r="G24" s="115" t="s">
        <v>339</v>
      </c>
      <c r="H24" s="115" t="s">
        <v>339</v>
      </c>
      <c r="I24" s="115" t="s">
        <v>21</v>
      </c>
      <c r="J24" s="115" t="s">
        <v>21</v>
      </c>
      <c r="K24" s="115"/>
      <c r="L24" s="115"/>
      <c r="M24" s="115"/>
      <c r="N24" s="115"/>
      <c r="O24" s="115"/>
      <c r="P24" s="115"/>
      <c r="Q24" s="118">
        <f t="shared" si="3"/>
        <v>0.5</v>
      </c>
      <c r="R24" s="133"/>
      <c r="S24" s="5"/>
      <c r="T24" s="134"/>
      <c r="U24" s="106"/>
      <c r="V24" s="106"/>
    </row>
    <row r="25" ht="15.75" customHeight="1">
      <c r="A25" s="114">
        <f t="shared" si="1"/>
        <v>4</v>
      </c>
      <c r="B25" s="114">
        <f t="shared" si="2"/>
        <v>11</v>
      </c>
      <c r="C25" s="107" t="s">
        <v>79</v>
      </c>
      <c r="D25" s="115" t="s">
        <v>359</v>
      </c>
      <c r="E25" s="109" t="s">
        <v>115</v>
      </c>
      <c r="F25" s="115" t="s">
        <v>68</v>
      </c>
      <c r="G25" s="115" t="s">
        <v>24</v>
      </c>
      <c r="H25" s="115" t="s">
        <v>21</v>
      </c>
      <c r="I25" s="115" t="s">
        <v>21</v>
      </c>
      <c r="J25" s="115" t="s">
        <v>21</v>
      </c>
      <c r="K25" s="115"/>
      <c r="L25" s="115"/>
      <c r="M25" s="115"/>
      <c r="N25" s="115"/>
      <c r="O25" s="115"/>
      <c r="P25" s="115"/>
      <c r="Q25" s="118">
        <f t="shared" si="3"/>
        <v>0.75</v>
      </c>
      <c r="R25" s="133"/>
      <c r="S25" s="5"/>
      <c r="T25" s="134"/>
      <c r="U25" s="106"/>
      <c r="V25" s="106"/>
    </row>
    <row r="26" ht="15.75" customHeight="1">
      <c r="A26" s="114">
        <f t="shared" si="1"/>
        <v>4</v>
      </c>
      <c r="B26" s="114">
        <f t="shared" si="2"/>
        <v>11</v>
      </c>
      <c r="C26" s="107" t="s">
        <v>79</v>
      </c>
      <c r="D26" s="115" t="s">
        <v>351</v>
      </c>
      <c r="E26" s="143" t="s">
        <v>115</v>
      </c>
      <c r="F26" s="115" t="s">
        <v>85</v>
      </c>
      <c r="G26" s="115" t="s">
        <v>24</v>
      </c>
      <c r="H26" s="115" t="s">
        <v>24</v>
      </c>
      <c r="I26" s="115" t="s">
        <v>21</v>
      </c>
      <c r="J26" s="115" t="s">
        <v>33</v>
      </c>
      <c r="K26" s="115"/>
      <c r="L26" s="115"/>
      <c r="M26" s="115"/>
      <c r="N26" s="115"/>
      <c r="O26" s="115"/>
      <c r="P26" s="115"/>
      <c r="Q26" s="118">
        <f t="shared" si="3"/>
        <v>0.25</v>
      </c>
      <c r="R26" s="133"/>
      <c r="S26" s="5"/>
      <c r="T26" s="134"/>
      <c r="U26" s="106"/>
      <c r="V26" s="106"/>
    </row>
    <row r="27" ht="15.75" customHeight="1">
      <c r="A27" s="114">
        <f t="shared" si="1"/>
        <v>4</v>
      </c>
      <c r="B27" s="114">
        <f t="shared" si="2"/>
        <v>11</v>
      </c>
      <c r="C27" s="107" t="s">
        <v>79</v>
      </c>
      <c r="D27" s="115" t="s">
        <v>207</v>
      </c>
      <c r="E27" s="109" t="s">
        <v>115</v>
      </c>
      <c r="F27" s="115" t="s">
        <v>85</v>
      </c>
      <c r="G27" s="115" t="s">
        <v>24</v>
      </c>
      <c r="H27" s="115" t="s">
        <v>24</v>
      </c>
      <c r="I27" s="115" t="s">
        <v>24</v>
      </c>
      <c r="J27" s="115" t="s">
        <v>21</v>
      </c>
      <c r="K27" s="115"/>
      <c r="L27" s="115"/>
      <c r="M27" s="115"/>
      <c r="N27" s="115"/>
      <c r="O27" s="115"/>
      <c r="P27" s="115"/>
      <c r="Q27" s="118">
        <f t="shared" si="3"/>
        <v>0.25</v>
      </c>
      <c r="R27" s="133"/>
      <c r="S27" s="5"/>
      <c r="T27" s="134"/>
      <c r="U27" s="106"/>
      <c r="V27" s="106"/>
    </row>
    <row r="28" ht="15.75" customHeight="1">
      <c r="A28" s="114">
        <f t="shared" si="1"/>
        <v>5</v>
      </c>
      <c r="B28" s="114">
        <f t="shared" si="2"/>
        <v>8</v>
      </c>
      <c r="C28" s="107" t="s">
        <v>54</v>
      </c>
      <c r="D28" s="115" t="s">
        <v>190</v>
      </c>
      <c r="E28" s="109" t="s">
        <v>320</v>
      </c>
      <c r="F28" s="115" t="s">
        <v>43</v>
      </c>
      <c r="G28" s="115" t="s">
        <v>21</v>
      </c>
      <c r="H28" s="115" t="s">
        <v>21</v>
      </c>
      <c r="I28" s="115" t="s">
        <v>21</v>
      </c>
      <c r="J28" s="115" t="s">
        <v>24</v>
      </c>
      <c r="K28" s="115"/>
      <c r="L28" s="115"/>
      <c r="M28" s="115"/>
      <c r="N28" s="115"/>
      <c r="O28" s="115"/>
      <c r="P28" s="115"/>
      <c r="Q28" s="118">
        <f t="shared" si="3"/>
        <v>0.75</v>
      </c>
      <c r="R28" s="133"/>
      <c r="S28" s="5"/>
      <c r="T28" s="134"/>
      <c r="U28" s="106"/>
      <c r="V28" s="106"/>
    </row>
    <row r="29" ht="15.75" customHeight="1">
      <c r="A29" s="114">
        <f t="shared" si="1"/>
        <v>6</v>
      </c>
      <c r="B29" s="114">
        <f t="shared" si="2"/>
        <v>8</v>
      </c>
      <c r="C29" s="107" t="s">
        <v>54</v>
      </c>
      <c r="D29" s="115" t="s">
        <v>100</v>
      </c>
      <c r="E29" s="109" t="s">
        <v>322</v>
      </c>
      <c r="F29" s="115" t="s">
        <v>51</v>
      </c>
      <c r="G29" s="115" t="s">
        <v>21</v>
      </c>
      <c r="H29" s="115" t="s">
        <v>21</v>
      </c>
      <c r="I29" s="115" t="s">
        <v>21</v>
      </c>
      <c r="J29" s="115" t="s">
        <v>21</v>
      </c>
      <c r="K29" s="115"/>
      <c r="L29" s="115"/>
      <c r="M29" s="115"/>
      <c r="N29" s="115"/>
      <c r="O29" s="115"/>
      <c r="P29" s="115"/>
      <c r="Q29" s="118">
        <f t="shared" si="3"/>
        <v>1</v>
      </c>
      <c r="R29" s="133"/>
      <c r="S29" s="5"/>
      <c r="T29" s="134"/>
      <c r="U29" s="106"/>
      <c r="V29" s="106"/>
    </row>
    <row r="30" ht="15.75" customHeight="1">
      <c r="A30" s="114">
        <f t="shared" si="1"/>
        <v>6</v>
      </c>
      <c r="B30" s="114">
        <f t="shared" si="2"/>
        <v>9</v>
      </c>
      <c r="C30" s="107" t="s">
        <v>64</v>
      </c>
      <c r="D30" s="115" t="s">
        <v>60</v>
      </c>
      <c r="E30" s="109" t="s">
        <v>322</v>
      </c>
      <c r="F30" s="115" t="s">
        <v>57</v>
      </c>
      <c r="G30" s="115" t="s">
        <v>21</v>
      </c>
      <c r="H30" s="115" t="s">
        <v>21</v>
      </c>
      <c r="I30" s="115" t="s">
        <v>21</v>
      </c>
      <c r="J30" s="115" t="s">
        <v>21</v>
      </c>
      <c r="K30" s="115"/>
      <c r="L30" s="115"/>
      <c r="M30" s="115"/>
      <c r="N30" s="115"/>
      <c r="O30" s="115"/>
      <c r="P30" s="115"/>
      <c r="Q30" s="118">
        <f t="shared" si="3"/>
        <v>1</v>
      </c>
      <c r="R30" s="133"/>
      <c r="S30" s="5"/>
      <c r="T30" s="134"/>
      <c r="U30" s="106"/>
      <c r="V30" s="106"/>
    </row>
    <row r="31" ht="15.75" customHeight="1">
      <c r="A31" s="114">
        <f t="shared" si="1"/>
        <v>6</v>
      </c>
      <c r="B31" s="114">
        <f t="shared" si="2"/>
        <v>9</v>
      </c>
      <c r="C31" s="107" t="s">
        <v>64</v>
      </c>
      <c r="D31" s="115" t="s">
        <v>217</v>
      </c>
      <c r="E31" s="109" t="s">
        <v>322</v>
      </c>
      <c r="F31" s="115" t="s">
        <v>63</v>
      </c>
      <c r="G31" s="115" t="s">
        <v>24</v>
      </c>
      <c r="H31" s="115" t="s">
        <v>21</v>
      </c>
      <c r="I31" s="115" t="s">
        <v>24</v>
      </c>
      <c r="J31" s="115" t="s">
        <v>21</v>
      </c>
      <c r="K31" s="115"/>
      <c r="L31" s="115"/>
      <c r="M31" s="115"/>
      <c r="N31" s="115"/>
      <c r="O31" s="115"/>
      <c r="P31" s="115"/>
      <c r="Q31" s="118">
        <f t="shared" si="3"/>
        <v>0.5</v>
      </c>
      <c r="R31" s="133"/>
      <c r="S31" s="5"/>
      <c r="T31" s="134"/>
      <c r="U31" s="106"/>
      <c r="V31" s="106"/>
    </row>
    <row r="32" ht="15.75" customHeight="1">
      <c r="A32" s="114">
        <f t="shared" si="1"/>
        <v>6</v>
      </c>
      <c r="B32" s="114">
        <f t="shared" si="2"/>
        <v>10</v>
      </c>
      <c r="C32" s="107" t="s">
        <v>84</v>
      </c>
      <c r="D32" s="115" t="s">
        <v>228</v>
      </c>
      <c r="E32" s="109" t="s">
        <v>322</v>
      </c>
      <c r="F32" s="115" t="s">
        <v>68</v>
      </c>
      <c r="G32" s="115" t="s">
        <v>24</v>
      </c>
      <c r="H32" s="115" t="s">
        <v>33</v>
      </c>
      <c r="I32" s="115" t="s">
        <v>24</v>
      </c>
      <c r="J32" s="115" t="s">
        <v>33</v>
      </c>
      <c r="K32" s="115"/>
      <c r="L32" s="115"/>
      <c r="M32" s="115"/>
      <c r="N32" s="115"/>
      <c r="O32" s="115"/>
      <c r="P32" s="115"/>
      <c r="Q32" s="118">
        <f t="shared" si="3"/>
        <v>0</v>
      </c>
      <c r="R32" s="133"/>
      <c r="S32" s="5"/>
      <c r="T32" s="134"/>
      <c r="U32" s="106"/>
      <c r="V32" s="106"/>
    </row>
    <row r="33" ht="15.75" customHeight="1">
      <c r="A33" s="114">
        <f t="shared" si="1"/>
        <v>6</v>
      </c>
      <c r="B33" s="114">
        <f t="shared" si="2"/>
        <v>11</v>
      </c>
      <c r="C33" s="107" t="s">
        <v>79</v>
      </c>
      <c r="D33" s="115" t="s">
        <v>360</v>
      </c>
      <c r="E33" s="109" t="s">
        <v>322</v>
      </c>
      <c r="F33" s="115" t="s">
        <v>68</v>
      </c>
      <c r="G33" s="115" t="s">
        <v>339</v>
      </c>
      <c r="H33" s="115" t="s">
        <v>339</v>
      </c>
      <c r="I33" s="115" t="s">
        <v>21</v>
      </c>
      <c r="J33" s="115" t="s">
        <v>24</v>
      </c>
      <c r="K33" s="115"/>
      <c r="L33" s="115"/>
      <c r="M33" s="115"/>
      <c r="N33" s="115"/>
      <c r="O33" s="115"/>
      <c r="P33" s="115"/>
      <c r="Q33" s="118">
        <f t="shared" si="3"/>
        <v>0.25</v>
      </c>
      <c r="R33" s="133"/>
      <c r="S33" s="5"/>
      <c r="T33" s="134"/>
      <c r="U33" s="106"/>
      <c r="V33" s="106"/>
    </row>
    <row r="34" ht="15.75" customHeight="1">
      <c r="A34" s="114">
        <f t="shared" si="1"/>
        <v>6</v>
      </c>
      <c r="B34" s="114">
        <f t="shared" si="2"/>
        <v>10</v>
      </c>
      <c r="C34" s="107" t="s">
        <v>84</v>
      </c>
      <c r="D34" s="115" t="s">
        <v>121</v>
      </c>
      <c r="E34" s="109" t="s">
        <v>322</v>
      </c>
      <c r="F34" s="115" t="s">
        <v>85</v>
      </c>
      <c r="G34" s="115" t="s">
        <v>21</v>
      </c>
      <c r="H34" s="115" t="s">
        <v>24</v>
      </c>
      <c r="I34" s="115" t="s">
        <v>21</v>
      </c>
      <c r="J34" s="115" t="s">
        <v>24</v>
      </c>
      <c r="K34" s="115"/>
      <c r="L34" s="115"/>
      <c r="M34" s="115"/>
      <c r="N34" s="115"/>
      <c r="O34" s="115"/>
      <c r="P34" s="115"/>
      <c r="Q34" s="118">
        <f t="shared" si="3"/>
        <v>0.5</v>
      </c>
      <c r="R34" s="133"/>
      <c r="S34" s="5"/>
      <c r="T34" s="134"/>
      <c r="U34" s="106"/>
      <c r="V34" s="106"/>
    </row>
    <row r="35" ht="15.75" customHeight="1">
      <c r="A35" s="114">
        <f t="shared" si="1"/>
        <v>6</v>
      </c>
      <c r="B35" s="114">
        <f t="shared" si="2"/>
        <v>11</v>
      </c>
      <c r="C35" s="107" t="s">
        <v>79</v>
      </c>
      <c r="D35" s="115" t="s">
        <v>128</v>
      </c>
      <c r="E35" s="109" t="s">
        <v>322</v>
      </c>
      <c r="F35" s="115" t="s">
        <v>85</v>
      </c>
      <c r="G35" s="115" t="s">
        <v>24</v>
      </c>
      <c r="H35" s="115" t="s">
        <v>24</v>
      </c>
      <c r="I35" s="115" t="s">
        <v>24</v>
      </c>
      <c r="J35" s="115" t="s">
        <v>21</v>
      </c>
      <c r="K35" s="115"/>
      <c r="L35" s="115"/>
      <c r="M35" s="115"/>
      <c r="N35" s="115"/>
      <c r="O35" s="115"/>
      <c r="P35" s="115"/>
      <c r="Q35" s="118">
        <f t="shared" si="3"/>
        <v>0.25</v>
      </c>
      <c r="R35" s="133"/>
      <c r="S35" s="5"/>
      <c r="T35" s="134"/>
      <c r="U35" s="106"/>
      <c r="V35" s="106"/>
    </row>
    <row r="36" ht="15.75" customHeight="1">
      <c r="A36" s="114">
        <f t="shared" si="1"/>
        <v>7</v>
      </c>
      <c r="B36" s="114">
        <f t="shared" si="2"/>
        <v>8</v>
      </c>
      <c r="C36" s="107" t="s">
        <v>54</v>
      </c>
      <c r="D36" s="115" t="s">
        <v>105</v>
      </c>
      <c r="E36" s="109" t="s">
        <v>330</v>
      </c>
      <c r="F36" s="115" t="s">
        <v>51</v>
      </c>
      <c r="G36" s="115" t="s">
        <v>21</v>
      </c>
      <c r="H36" s="115" t="s">
        <v>21</v>
      </c>
      <c r="I36" s="115" t="s">
        <v>37</v>
      </c>
      <c r="J36" s="115" t="s">
        <v>37</v>
      </c>
      <c r="K36" s="115"/>
      <c r="L36" s="115"/>
      <c r="M36" s="115"/>
      <c r="N36" s="115"/>
      <c r="O36" s="115"/>
      <c r="P36" s="115"/>
      <c r="Q36" s="118">
        <f t="shared" si="3"/>
        <v>0.5</v>
      </c>
      <c r="R36" s="133"/>
      <c r="S36" s="5"/>
      <c r="T36" s="134"/>
      <c r="U36" s="106"/>
      <c r="V36" s="106"/>
    </row>
    <row r="37" ht="15.75" customHeight="1">
      <c r="A37" s="114">
        <f t="shared" si="1"/>
        <v>7</v>
      </c>
      <c r="B37" s="114">
        <f t="shared" si="2"/>
        <v>9</v>
      </c>
      <c r="C37" s="107" t="s">
        <v>64</v>
      </c>
      <c r="D37" s="115" t="s">
        <v>160</v>
      </c>
      <c r="E37" s="109" t="s">
        <v>330</v>
      </c>
      <c r="F37" s="115" t="s">
        <v>57</v>
      </c>
      <c r="G37" s="115" t="s">
        <v>21</v>
      </c>
      <c r="H37" s="115" t="s">
        <v>21</v>
      </c>
      <c r="I37" s="115" t="s">
        <v>21</v>
      </c>
      <c r="J37" s="115" t="s">
        <v>24</v>
      </c>
      <c r="K37" s="115"/>
      <c r="L37" s="115"/>
      <c r="M37" s="115"/>
      <c r="N37" s="115"/>
      <c r="O37" s="115"/>
      <c r="P37" s="115"/>
      <c r="Q37" s="118">
        <f t="shared" si="3"/>
        <v>0.75</v>
      </c>
      <c r="R37" s="133"/>
      <c r="S37" s="5"/>
      <c r="T37" s="134"/>
      <c r="U37" s="106"/>
      <c r="V37" s="106"/>
    </row>
    <row r="38" ht="15.75" customHeight="1">
      <c r="A38" s="114">
        <f t="shared" si="1"/>
        <v>7</v>
      </c>
      <c r="B38" s="114">
        <f t="shared" si="2"/>
        <v>10</v>
      </c>
      <c r="C38" s="107" t="s">
        <v>84</v>
      </c>
      <c r="D38" s="115" t="s">
        <v>218</v>
      </c>
      <c r="E38" s="109" t="s">
        <v>330</v>
      </c>
      <c r="F38" s="115" t="s">
        <v>63</v>
      </c>
      <c r="G38" s="115" t="s">
        <v>21</v>
      </c>
      <c r="H38" s="115" t="s">
        <v>24</v>
      </c>
      <c r="I38" s="115" t="s">
        <v>21</v>
      </c>
      <c r="J38" s="115" t="s">
        <v>24</v>
      </c>
      <c r="K38" s="115"/>
      <c r="L38" s="115"/>
      <c r="M38" s="115"/>
      <c r="N38" s="115"/>
      <c r="O38" s="115"/>
      <c r="P38" s="115"/>
      <c r="Q38" s="118">
        <f t="shared" si="3"/>
        <v>0.5</v>
      </c>
      <c r="R38" s="133"/>
      <c r="S38" s="5"/>
      <c r="T38" s="134"/>
      <c r="U38" s="106"/>
      <c r="V38" s="106"/>
    </row>
    <row r="39" ht="15.75" customHeight="1">
      <c r="A39" s="114">
        <f t="shared" si="1"/>
        <v>7</v>
      </c>
      <c r="B39" s="114">
        <f t="shared" si="2"/>
        <v>11</v>
      </c>
      <c r="C39" s="107" t="s">
        <v>79</v>
      </c>
      <c r="D39" s="115" t="s">
        <v>135</v>
      </c>
      <c r="E39" s="109" t="s">
        <v>330</v>
      </c>
      <c r="F39" s="115" t="s">
        <v>68</v>
      </c>
      <c r="G39" s="115" t="s">
        <v>21</v>
      </c>
      <c r="H39" s="115" t="s">
        <v>21</v>
      </c>
      <c r="I39" s="115" t="s">
        <v>37</v>
      </c>
      <c r="J39" s="115" t="s">
        <v>37</v>
      </c>
      <c r="K39" s="115"/>
      <c r="L39" s="115"/>
      <c r="M39" s="115"/>
      <c r="N39" s="115"/>
      <c r="O39" s="115"/>
      <c r="P39" s="115"/>
      <c r="Q39" s="118">
        <f t="shared" si="3"/>
        <v>0.5</v>
      </c>
      <c r="R39" s="133"/>
      <c r="S39" s="5"/>
      <c r="T39" s="134"/>
      <c r="U39" s="106"/>
      <c r="V39" s="106"/>
    </row>
    <row r="40" ht="15.75" customHeight="1">
      <c r="A40" s="114">
        <f t="shared" si="1"/>
        <v>7</v>
      </c>
      <c r="B40" s="114">
        <f t="shared" si="2"/>
        <v>11</v>
      </c>
      <c r="C40" s="107" t="s">
        <v>79</v>
      </c>
      <c r="D40" s="115" t="s">
        <v>307</v>
      </c>
      <c r="E40" s="109" t="s">
        <v>330</v>
      </c>
      <c r="F40" s="115" t="s">
        <v>68</v>
      </c>
      <c r="G40" s="115" t="s">
        <v>21</v>
      </c>
      <c r="H40" s="115" t="s">
        <v>24</v>
      </c>
      <c r="I40" s="115" t="s">
        <v>24</v>
      </c>
      <c r="J40" s="115" t="s">
        <v>24</v>
      </c>
      <c r="K40" s="115"/>
      <c r="L40" s="115"/>
      <c r="M40" s="115"/>
      <c r="N40" s="115"/>
      <c r="O40" s="115"/>
      <c r="P40" s="115"/>
      <c r="Q40" s="118">
        <f t="shared" si="3"/>
        <v>0.25</v>
      </c>
      <c r="R40" s="133"/>
      <c r="S40" s="5"/>
      <c r="T40" s="134"/>
      <c r="U40" s="106"/>
      <c r="V40" s="106"/>
    </row>
    <row r="41" ht="15.75" customHeight="1">
      <c r="A41" s="114">
        <f t="shared" si="1"/>
        <v>7</v>
      </c>
      <c r="B41" s="114">
        <f t="shared" si="2"/>
        <v>11</v>
      </c>
      <c r="C41" s="107" t="s">
        <v>79</v>
      </c>
      <c r="D41" s="115" t="s">
        <v>362</v>
      </c>
      <c r="E41" s="109" t="s">
        <v>330</v>
      </c>
      <c r="F41" s="115" t="s">
        <v>85</v>
      </c>
      <c r="G41" s="115" t="s">
        <v>21</v>
      </c>
      <c r="H41" s="115" t="s">
        <v>21</v>
      </c>
      <c r="I41" s="115" t="s">
        <v>24</v>
      </c>
      <c r="J41" s="115" t="s">
        <v>24</v>
      </c>
      <c r="K41" s="115"/>
      <c r="L41" s="115"/>
      <c r="M41" s="115"/>
      <c r="N41" s="115"/>
      <c r="O41" s="115"/>
      <c r="P41" s="115"/>
      <c r="Q41" s="118">
        <f t="shared" si="3"/>
        <v>0.5</v>
      </c>
      <c r="R41" s="133"/>
      <c r="S41" s="5"/>
      <c r="T41" s="134"/>
      <c r="U41" s="106"/>
      <c r="V41" s="106"/>
    </row>
    <row r="42" ht="15.75" customHeight="1">
      <c r="A42" s="114">
        <f t="shared" si="1"/>
        <v>7</v>
      </c>
      <c r="B42" s="114">
        <f t="shared" si="2"/>
        <v>11</v>
      </c>
      <c r="C42" s="107" t="s">
        <v>79</v>
      </c>
      <c r="D42" s="115" t="s">
        <v>111</v>
      </c>
      <c r="E42" s="109" t="s">
        <v>330</v>
      </c>
      <c r="F42" s="115" t="s">
        <v>85</v>
      </c>
      <c r="G42" s="115" t="s">
        <v>339</v>
      </c>
      <c r="H42" s="115" t="s">
        <v>339</v>
      </c>
      <c r="I42" s="115" t="s">
        <v>21</v>
      </c>
      <c r="J42" s="115" t="s">
        <v>21</v>
      </c>
      <c r="K42" s="115"/>
      <c r="L42" s="115"/>
      <c r="M42" s="115"/>
      <c r="N42" s="115"/>
      <c r="O42" s="115"/>
      <c r="P42" s="115"/>
      <c r="Q42" s="118">
        <f t="shared" si="3"/>
        <v>0.5</v>
      </c>
      <c r="R42" s="133"/>
      <c r="S42" s="5"/>
      <c r="T42" s="134"/>
      <c r="U42" s="106"/>
      <c r="V42" s="106"/>
    </row>
    <row r="43" ht="15.75" customHeight="1">
      <c r="A43" s="114">
        <f t="shared" si="1"/>
        <v>7</v>
      </c>
      <c r="B43" s="114">
        <f t="shared" si="2"/>
        <v>11</v>
      </c>
      <c r="C43" s="107" t="s">
        <v>79</v>
      </c>
      <c r="D43" s="115" t="s">
        <v>363</v>
      </c>
      <c r="E43" s="109" t="s">
        <v>330</v>
      </c>
      <c r="F43" s="115" t="s">
        <v>85</v>
      </c>
      <c r="G43" s="115" t="s">
        <v>33</v>
      </c>
      <c r="H43" s="115" t="s">
        <v>33</v>
      </c>
      <c r="I43" s="115" t="s">
        <v>24</v>
      </c>
      <c r="J43" s="115" t="s">
        <v>24</v>
      </c>
      <c r="K43" s="115"/>
      <c r="L43" s="115"/>
      <c r="M43" s="115"/>
      <c r="N43" s="115"/>
      <c r="O43" s="115"/>
      <c r="P43" s="115"/>
      <c r="Q43" s="118">
        <f t="shared" si="3"/>
        <v>0</v>
      </c>
      <c r="R43" s="133"/>
      <c r="S43" s="5"/>
      <c r="T43" s="134"/>
      <c r="U43" s="106"/>
      <c r="V43" s="106"/>
    </row>
    <row r="44" ht="15.75" customHeight="1">
      <c r="A44" s="114">
        <f t="shared" si="1"/>
        <v>8</v>
      </c>
      <c r="B44" s="114">
        <f t="shared" si="2"/>
        <v>6</v>
      </c>
      <c r="C44" s="107" t="s">
        <v>113</v>
      </c>
      <c r="D44" s="115" t="s">
        <v>169</v>
      </c>
      <c r="E44" s="109" t="s">
        <v>335</v>
      </c>
      <c r="F44" s="115" t="s">
        <v>336</v>
      </c>
      <c r="G44" s="115" t="s">
        <v>21</v>
      </c>
      <c r="H44" s="115" t="s">
        <v>24</v>
      </c>
      <c r="I44" s="115" t="s">
        <v>24</v>
      </c>
      <c r="J44" s="115" t="s">
        <v>24</v>
      </c>
      <c r="K44" s="115"/>
      <c r="L44" s="115"/>
      <c r="M44" s="115"/>
      <c r="N44" s="115"/>
      <c r="O44" s="115"/>
      <c r="P44" s="115"/>
      <c r="Q44" s="118">
        <f t="shared" si="3"/>
        <v>0.25</v>
      </c>
      <c r="R44" s="133"/>
      <c r="S44" s="5"/>
      <c r="T44" s="134"/>
      <c r="U44" s="106"/>
      <c r="V44" s="106"/>
    </row>
    <row r="45" ht="15.75" customHeight="1">
      <c r="A45" s="114">
        <f t="shared" si="1"/>
        <v>9</v>
      </c>
      <c r="B45" s="114">
        <f t="shared" si="2"/>
        <v>7</v>
      </c>
      <c r="C45" s="107" t="s">
        <v>46</v>
      </c>
      <c r="D45" s="115" t="s">
        <v>173</v>
      </c>
      <c r="E45" s="109" t="s">
        <v>158</v>
      </c>
      <c r="F45" s="115" t="s">
        <v>51</v>
      </c>
      <c r="G45" s="115" t="s">
        <v>21</v>
      </c>
      <c r="H45" s="115" t="s">
        <v>21</v>
      </c>
      <c r="I45" s="115" t="s">
        <v>37</v>
      </c>
      <c r="J45" s="115" t="s">
        <v>37</v>
      </c>
      <c r="K45" s="115"/>
      <c r="L45" s="115"/>
      <c r="M45" s="115"/>
      <c r="N45" s="115"/>
      <c r="O45" s="115"/>
      <c r="P45" s="115"/>
      <c r="Q45" s="118">
        <f t="shared" si="3"/>
        <v>0.5</v>
      </c>
      <c r="R45" s="133"/>
      <c r="S45" s="5"/>
      <c r="T45" s="134"/>
      <c r="U45" s="106"/>
      <c r="V45" s="106"/>
    </row>
    <row r="46" ht="15.75" customHeight="1">
      <c r="A46" s="114">
        <f t="shared" si="1"/>
        <v>9</v>
      </c>
      <c r="B46" s="114">
        <f t="shared" si="2"/>
        <v>8</v>
      </c>
      <c r="C46" s="107" t="s">
        <v>54</v>
      </c>
      <c r="D46" s="115" t="s">
        <v>157</v>
      </c>
      <c r="E46" s="109" t="s">
        <v>158</v>
      </c>
      <c r="F46" s="115" t="s">
        <v>57</v>
      </c>
      <c r="G46" s="115" t="s">
        <v>21</v>
      </c>
      <c r="H46" s="115" t="s">
        <v>21</v>
      </c>
      <c r="I46" s="115" t="s">
        <v>21</v>
      </c>
      <c r="J46" s="115" t="s">
        <v>21</v>
      </c>
      <c r="K46" s="115"/>
      <c r="L46" s="115"/>
      <c r="M46" s="115"/>
      <c r="N46" s="115"/>
      <c r="O46" s="115"/>
      <c r="P46" s="115"/>
      <c r="Q46" s="118">
        <f t="shared" si="3"/>
        <v>1</v>
      </c>
      <c r="R46" s="133"/>
      <c r="S46" s="5"/>
      <c r="T46" s="134"/>
      <c r="U46" s="106"/>
      <c r="V46" s="106"/>
    </row>
    <row r="47" ht="15.75" customHeight="1">
      <c r="A47" s="114">
        <f t="shared" si="1"/>
        <v>9</v>
      </c>
      <c r="B47" s="114">
        <f t="shared" si="2"/>
        <v>9</v>
      </c>
      <c r="C47" s="107" t="s">
        <v>64</v>
      </c>
      <c r="D47" s="115" t="s">
        <v>337</v>
      </c>
      <c r="E47" s="109" t="s">
        <v>158</v>
      </c>
      <c r="F47" s="115" t="s">
        <v>63</v>
      </c>
      <c r="G47" s="115" t="s">
        <v>21</v>
      </c>
      <c r="H47" s="115" t="s">
        <v>21</v>
      </c>
      <c r="I47" s="115" t="s">
        <v>21</v>
      </c>
      <c r="J47" s="115" t="s">
        <v>21</v>
      </c>
      <c r="K47" s="115"/>
      <c r="L47" s="115"/>
      <c r="M47" s="115"/>
      <c r="N47" s="115"/>
      <c r="O47" s="115"/>
      <c r="P47" s="115"/>
      <c r="Q47" s="118">
        <f t="shared" si="3"/>
        <v>1</v>
      </c>
      <c r="R47" s="133"/>
      <c r="S47" s="5"/>
      <c r="T47" s="134"/>
      <c r="U47" s="106"/>
      <c r="V47" s="106"/>
    </row>
    <row r="48" ht="15.75" customHeight="1">
      <c r="A48" s="114">
        <f t="shared" si="1"/>
        <v>9</v>
      </c>
      <c r="B48" s="114">
        <f t="shared" si="2"/>
        <v>8</v>
      </c>
      <c r="C48" s="107" t="s">
        <v>54</v>
      </c>
      <c r="D48" s="115" t="s">
        <v>162</v>
      </c>
      <c r="E48" s="109" t="s">
        <v>158</v>
      </c>
      <c r="F48" s="115" t="s">
        <v>68</v>
      </c>
      <c r="G48" s="115" t="s">
        <v>21</v>
      </c>
      <c r="H48" s="115" t="s">
        <v>21</v>
      </c>
      <c r="I48" s="115" t="s">
        <v>21</v>
      </c>
      <c r="J48" s="115" t="s">
        <v>24</v>
      </c>
      <c r="K48" s="115"/>
      <c r="L48" s="115"/>
      <c r="M48" s="115"/>
      <c r="N48" s="115"/>
      <c r="O48" s="115"/>
      <c r="P48" s="115"/>
      <c r="Q48" s="118">
        <f t="shared" si="3"/>
        <v>0.75</v>
      </c>
      <c r="R48" s="133"/>
      <c r="S48" s="5"/>
      <c r="T48" s="134"/>
      <c r="U48" s="106"/>
      <c r="V48" s="106"/>
    </row>
    <row r="49" ht="15.75" customHeight="1">
      <c r="A49" s="114">
        <f t="shared" si="1"/>
        <v>9</v>
      </c>
      <c r="B49" s="114">
        <f t="shared" si="2"/>
        <v>10</v>
      </c>
      <c r="C49" s="107" t="s">
        <v>84</v>
      </c>
      <c r="D49" s="115" t="s">
        <v>208</v>
      </c>
      <c r="E49" s="109" t="s">
        <v>158</v>
      </c>
      <c r="F49" s="115" t="s">
        <v>68</v>
      </c>
      <c r="G49" s="115" t="s">
        <v>21</v>
      </c>
      <c r="H49" s="115" t="s">
        <v>24</v>
      </c>
      <c r="I49" s="115" t="s">
        <v>24</v>
      </c>
      <c r="J49" s="115" t="s">
        <v>24</v>
      </c>
      <c r="K49" s="115"/>
      <c r="L49" s="115"/>
      <c r="M49" s="115"/>
      <c r="N49" s="115"/>
      <c r="O49" s="115"/>
      <c r="P49" s="115"/>
      <c r="Q49" s="118">
        <f t="shared" si="3"/>
        <v>0.25</v>
      </c>
      <c r="R49" s="133"/>
      <c r="S49" s="5"/>
      <c r="T49" s="134"/>
      <c r="U49" s="106"/>
      <c r="V49" s="106"/>
    </row>
    <row r="50" ht="15.75" customHeight="1">
      <c r="A50" s="114">
        <f t="shared" si="1"/>
        <v>9</v>
      </c>
      <c r="B50" s="114">
        <f t="shared" si="2"/>
        <v>11</v>
      </c>
      <c r="C50" s="107" t="s">
        <v>79</v>
      </c>
      <c r="D50" s="115" t="s">
        <v>364</v>
      </c>
      <c r="E50" s="117" t="s">
        <v>158</v>
      </c>
      <c r="F50" s="115" t="s">
        <v>68</v>
      </c>
      <c r="G50" s="115" t="s">
        <v>21</v>
      </c>
      <c r="H50" s="115" t="s">
        <v>24</v>
      </c>
      <c r="I50" s="115" t="s">
        <v>21</v>
      </c>
      <c r="J50" s="115" t="s">
        <v>21</v>
      </c>
      <c r="K50" s="115"/>
      <c r="L50" s="115"/>
      <c r="M50" s="115"/>
      <c r="N50" s="115"/>
      <c r="O50" s="115"/>
      <c r="P50" s="115"/>
      <c r="Q50" s="118">
        <f t="shared" si="3"/>
        <v>0.75</v>
      </c>
      <c r="R50" s="133"/>
      <c r="S50" s="5"/>
      <c r="T50" s="134"/>
      <c r="U50" s="106"/>
      <c r="V50" s="106"/>
    </row>
    <row r="51" ht="15.75" customHeight="1">
      <c r="A51" s="114">
        <f t="shared" si="1"/>
        <v>9</v>
      </c>
      <c r="B51" s="114">
        <f t="shared" si="2"/>
        <v>9</v>
      </c>
      <c r="C51" s="107" t="s">
        <v>64</v>
      </c>
      <c r="D51" s="115" t="s">
        <v>175</v>
      </c>
      <c r="E51" s="109" t="s">
        <v>158</v>
      </c>
      <c r="F51" s="115" t="s">
        <v>85</v>
      </c>
      <c r="G51" s="115" t="s">
        <v>24</v>
      </c>
      <c r="H51" s="115" t="s">
        <v>24</v>
      </c>
      <c r="I51" s="115" t="s">
        <v>37</v>
      </c>
      <c r="J51" s="115" t="s">
        <v>37</v>
      </c>
      <c r="K51" s="115"/>
      <c r="L51" s="115"/>
      <c r="M51" s="115"/>
      <c r="N51" s="115"/>
      <c r="O51" s="115"/>
      <c r="P51" s="115"/>
      <c r="Q51" s="118">
        <f t="shared" si="3"/>
        <v>0</v>
      </c>
      <c r="R51" s="133"/>
      <c r="S51" s="5"/>
      <c r="T51" s="134"/>
      <c r="U51" s="106"/>
      <c r="V51" s="106"/>
    </row>
    <row r="52" ht="15.75" customHeight="1">
      <c r="A52" s="114">
        <f t="shared" si="1"/>
        <v>9</v>
      </c>
      <c r="B52" s="114">
        <f t="shared" si="2"/>
        <v>9</v>
      </c>
      <c r="C52" s="107" t="s">
        <v>64</v>
      </c>
      <c r="D52" s="115" t="s">
        <v>205</v>
      </c>
      <c r="E52" s="109" t="s">
        <v>158</v>
      </c>
      <c r="F52" s="115" t="s">
        <v>85</v>
      </c>
      <c r="G52" s="115" t="s">
        <v>24</v>
      </c>
      <c r="H52" s="115" t="s">
        <v>24</v>
      </c>
      <c r="I52" s="115" t="s">
        <v>37</v>
      </c>
      <c r="J52" s="115" t="s">
        <v>37</v>
      </c>
      <c r="K52" s="115"/>
      <c r="L52" s="115"/>
      <c r="M52" s="115"/>
      <c r="N52" s="115"/>
      <c r="O52" s="115"/>
      <c r="P52" s="115"/>
      <c r="Q52" s="118">
        <f t="shared" si="3"/>
        <v>0</v>
      </c>
      <c r="R52" s="133"/>
      <c r="S52" s="5"/>
      <c r="T52" s="134"/>
      <c r="U52" s="106"/>
      <c r="V52" s="106"/>
    </row>
    <row r="53" ht="15.75" customHeight="1">
      <c r="A53" s="114">
        <f t="shared" si="1"/>
        <v>11</v>
      </c>
      <c r="B53" s="114">
        <f t="shared" si="2"/>
        <v>7</v>
      </c>
      <c r="C53" s="107" t="s">
        <v>46</v>
      </c>
      <c r="D53" s="115" t="s">
        <v>180</v>
      </c>
      <c r="E53" s="109" t="s">
        <v>89</v>
      </c>
      <c r="F53" s="115"/>
      <c r="G53" s="115" t="s">
        <v>24</v>
      </c>
      <c r="H53" s="115" t="s">
        <v>37</v>
      </c>
      <c r="I53" s="115" t="s">
        <v>37</v>
      </c>
      <c r="J53" s="115" t="s">
        <v>37</v>
      </c>
      <c r="K53" s="115"/>
      <c r="L53" s="115"/>
      <c r="M53" s="115"/>
      <c r="N53" s="115"/>
      <c r="O53" s="115"/>
      <c r="P53" s="115"/>
      <c r="Q53" s="118">
        <f t="shared" si="3"/>
        <v>0</v>
      </c>
      <c r="R53" s="133"/>
      <c r="S53" s="5"/>
      <c r="T53" s="134"/>
      <c r="U53" s="106"/>
      <c r="V53" s="106"/>
    </row>
    <row r="54" ht="15.75" customHeight="1">
      <c r="A54" s="114">
        <f t="shared" si="1"/>
        <v>11</v>
      </c>
      <c r="B54" s="114">
        <f t="shared" si="2"/>
        <v>7</v>
      </c>
      <c r="C54" s="107" t="s">
        <v>46</v>
      </c>
      <c r="D54" s="115" t="s">
        <v>185</v>
      </c>
      <c r="E54" s="109" t="s">
        <v>89</v>
      </c>
      <c r="F54" s="115"/>
      <c r="G54" s="115" t="s">
        <v>21</v>
      </c>
      <c r="H54" s="115" t="s">
        <v>21</v>
      </c>
      <c r="I54" s="115" t="s">
        <v>21</v>
      </c>
      <c r="J54" s="115" t="s">
        <v>24</v>
      </c>
      <c r="K54" s="115"/>
      <c r="L54" s="115"/>
      <c r="M54" s="115"/>
      <c r="N54" s="115"/>
      <c r="O54" s="115"/>
      <c r="P54" s="115"/>
      <c r="Q54" s="118">
        <f t="shared" si="3"/>
        <v>0.75</v>
      </c>
      <c r="R54" s="133"/>
      <c r="S54" s="5"/>
      <c r="T54" s="134"/>
      <c r="U54" s="106"/>
      <c r="V54" s="106"/>
    </row>
    <row r="55" ht="15.75" customHeight="1">
      <c r="A55" s="114">
        <f t="shared" si="1"/>
        <v>11</v>
      </c>
      <c r="B55" s="114">
        <f t="shared" si="2"/>
        <v>9</v>
      </c>
      <c r="C55" s="107" t="s">
        <v>64</v>
      </c>
      <c r="D55" s="115" t="s">
        <v>187</v>
      </c>
      <c r="E55" s="109" t="s">
        <v>89</v>
      </c>
      <c r="F55" s="115"/>
      <c r="G55" s="115" t="s">
        <v>21</v>
      </c>
      <c r="H55" s="115" t="s">
        <v>21</v>
      </c>
      <c r="I55" s="115" t="s">
        <v>21</v>
      </c>
      <c r="J55" s="115" t="s">
        <v>21</v>
      </c>
      <c r="K55" s="115"/>
      <c r="L55" s="115"/>
      <c r="M55" s="115"/>
      <c r="N55" s="115"/>
      <c r="O55" s="115"/>
      <c r="P55" s="115"/>
      <c r="Q55" s="118">
        <f t="shared" si="3"/>
        <v>1</v>
      </c>
      <c r="R55" s="133"/>
      <c r="S55" s="5"/>
      <c r="T55" s="134"/>
      <c r="U55" s="106"/>
      <c r="V55" s="106"/>
    </row>
    <row r="56" ht="15.75" customHeight="1">
      <c r="A56" s="114">
        <f t="shared" si="1"/>
        <v>12</v>
      </c>
      <c r="B56" s="114">
        <f t="shared" si="2"/>
        <v>8</v>
      </c>
      <c r="C56" s="107" t="s">
        <v>54</v>
      </c>
      <c r="D56" s="115" t="s">
        <v>196</v>
      </c>
      <c r="E56" s="109" t="s">
        <v>92</v>
      </c>
      <c r="F56" s="115" t="s">
        <v>267</v>
      </c>
      <c r="G56" s="115" t="s">
        <v>21</v>
      </c>
      <c r="H56" s="115" t="s">
        <v>21</v>
      </c>
      <c r="I56" s="115" t="s">
        <v>21</v>
      </c>
      <c r="J56" s="115" t="s">
        <v>21</v>
      </c>
      <c r="K56" s="115"/>
      <c r="L56" s="115"/>
      <c r="M56" s="115"/>
      <c r="N56" s="115"/>
      <c r="O56" s="115"/>
      <c r="P56" s="115"/>
      <c r="Q56" s="118">
        <f t="shared" si="3"/>
        <v>1</v>
      </c>
      <c r="R56" s="133"/>
      <c r="S56" s="5"/>
      <c r="T56" s="134"/>
      <c r="U56" s="106"/>
      <c r="V56" s="106"/>
    </row>
    <row r="57" ht="15.75" customHeight="1">
      <c r="A57" s="114">
        <f t="shared" si="1"/>
        <v>12</v>
      </c>
      <c r="B57" s="114">
        <f t="shared" si="2"/>
        <v>8</v>
      </c>
      <c r="C57" s="107" t="s">
        <v>54</v>
      </c>
      <c r="D57" s="115" t="s">
        <v>193</v>
      </c>
      <c r="E57" s="109" t="s">
        <v>92</v>
      </c>
      <c r="F57" s="115" t="s">
        <v>268</v>
      </c>
      <c r="G57" s="115" t="s">
        <v>21</v>
      </c>
      <c r="H57" s="115" t="s">
        <v>21</v>
      </c>
      <c r="I57" s="115" t="s">
        <v>24</v>
      </c>
      <c r="J57" s="115" t="s">
        <v>21</v>
      </c>
      <c r="K57" s="115"/>
      <c r="L57" s="115"/>
      <c r="M57" s="115"/>
      <c r="N57" s="115"/>
      <c r="O57" s="115"/>
      <c r="P57" s="115"/>
      <c r="Q57" s="118">
        <f t="shared" si="3"/>
        <v>0.75</v>
      </c>
      <c r="R57" s="133"/>
      <c r="S57" s="5"/>
      <c r="T57" s="134"/>
      <c r="U57" s="106"/>
      <c r="V57" s="106"/>
    </row>
    <row r="58" ht="15.75" customHeight="1">
      <c r="A58" s="114">
        <f t="shared" si="1"/>
        <v>12</v>
      </c>
      <c r="B58" s="114">
        <f t="shared" si="2"/>
        <v>9</v>
      </c>
      <c r="C58" s="107" t="s">
        <v>64</v>
      </c>
      <c r="D58" s="115" t="s">
        <v>188</v>
      </c>
      <c r="E58" s="109" t="s">
        <v>92</v>
      </c>
      <c r="F58" s="115"/>
      <c r="G58" s="115" t="s">
        <v>21</v>
      </c>
      <c r="H58" s="115" t="s">
        <v>21</v>
      </c>
      <c r="I58" s="115" t="s">
        <v>21</v>
      </c>
      <c r="J58" s="115" t="s">
        <v>21</v>
      </c>
      <c r="K58" s="115"/>
      <c r="L58" s="115"/>
      <c r="M58" s="115"/>
      <c r="N58" s="115"/>
      <c r="O58" s="115"/>
      <c r="P58" s="115"/>
      <c r="Q58" s="118">
        <f t="shared" si="3"/>
        <v>1</v>
      </c>
      <c r="R58" s="133"/>
      <c r="S58" s="5"/>
      <c r="T58" s="134"/>
      <c r="U58" s="106"/>
      <c r="V58" s="106"/>
    </row>
    <row r="59" ht="15.75" customHeight="1">
      <c r="A59" s="114">
        <f t="shared" si="1"/>
        <v>12</v>
      </c>
      <c r="B59" s="114">
        <f t="shared" si="2"/>
        <v>10</v>
      </c>
      <c r="C59" s="107" t="s">
        <v>84</v>
      </c>
      <c r="D59" s="115" t="s">
        <v>297</v>
      </c>
      <c r="E59" s="109" t="s">
        <v>92</v>
      </c>
      <c r="F59" s="115"/>
      <c r="G59" s="115" t="s">
        <v>21</v>
      </c>
      <c r="H59" s="115" t="s">
        <v>24</v>
      </c>
      <c r="I59" s="115" t="s">
        <v>24</v>
      </c>
      <c r="J59" s="115" t="s">
        <v>21</v>
      </c>
      <c r="K59" s="115"/>
      <c r="L59" s="115"/>
      <c r="M59" s="115"/>
      <c r="N59" s="115"/>
      <c r="O59" s="115"/>
      <c r="P59" s="115"/>
      <c r="Q59" s="118">
        <f t="shared" si="3"/>
        <v>0.5</v>
      </c>
      <c r="R59" s="133"/>
      <c r="S59" s="5"/>
      <c r="T59" s="134"/>
      <c r="U59" s="106"/>
      <c r="V59" s="106"/>
    </row>
    <row r="60" ht="15.75" customHeight="1">
      <c r="A60" s="114">
        <f t="shared" si="1"/>
        <v>13</v>
      </c>
      <c r="B60" s="114">
        <f t="shared" si="2"/>
        <v>9</v>
      </c>
      <c r="C60" s="107" t="s">
        <v>64</v>
      </c>
      <c r="D60" s="115" t="s">
        <v>242</v>
      </c>
      <c r="E60" s="117" t="s">
        <v>95</v>
      </c>
      <c r="F60" s="115" t="s">
        <v>171</v>
      </c>
      <c r="G60" s="115" t="s">
        <v>24</v>
      </c>
      <c r="H60" s="115" t="s">
        <v>21</v>
      </c>
      <c r="I60" s="115" t="s">
        <v>21</v>
      </c>
      <c r="J60" s="115" t="s">
        <v>21</v>
      </c>
      <c r="K60" s="115"/>
      <c r="L60" s="115"/>
      <c r="M60" s="115"/>
      <c r="N60" s="115"/>
      <c r="O60" s="115"/>
      <c r="P60" s="115"/>
      <c r="Q60" s="118">
        <f t="shared" si="3"/>
        <v>0.75</v>
      </c>
      <c r="R60" s="133"/>
      <c r="S60" s="5"/>
      <c r="T60" s="134"/>
      <c r="U60" s="106"/>
      <c r="V60" s="106"/>
    </row>
    <row r="61" ht="15.75" customHeight="1">
      <c r="A61" s="114">
        <f t="shared" si="1"/>
        <v>13</v>
      </c>
      <c r="B61" s="114">
        <f t="shared" si="2"/>
        <v>8</v>
      </c>
      <c r="C61" s="107" t="s">
        <v>54</v>
      </c>
      <c r="D61" s="115" t="s">
        <v>340</v>
      </c>
      <c r="E61" s="109" t="s">
        <v>95</v>
      </c>
      <c r="F61" s="115" t="s">
        <v>299</v>
      </c>
      <c r="G61" s="115" t="s">
        <v>21</v>
      </c>
      <c r="H61" s="115" t="s">
        <v>24</v>
      </c>
      <c r="I61" s="115" t="s">
        <v>21</v>
      </c>
      <c r="J61" s="115" t="s">
        <v>21</v>
      </c>
      <c r="K61" s="115"/>
      <c r="L61" s="115"/>
      <c r="M61" s="115"/>
      <c r="N61" s="115"/>
      <c r="O61" s="115"/>
      <c r="P61" s="115"/>
      <c r="Q61" s="118">
        <f t="shared" si="3"/>
        <v>0.75</v>
      </c>
      <c r="R61" s="133"/>
      <c r="S61" s="5"/>
      <c r="T61" s="134"/>
      <c r="U61" s="106"/>
      <c r="V61" s="106"/>
    </row>
    <row r="62" ht="15.75" customHeight="1">
      <c r="A62" s="114">
        <f t="shared" si="1"/>
        <v>13</v>
      </c>
      <c r="B62" s="114">
        <f t="shared" si="2"/>
        <v>9</v>
      </c>
      <c r="C62" s="107" t="s">
        <v>64</v>
      </c>
      <c r="D62" s="115" t="s">
        <v>215</v>
      </c>
      <c r="E62" s="117" t="s">
        <v>95</v>
      </c>
      <c r="F62" s="115"/>
      <c r="G62" s="115" t="s">
        <v>24</v>
      </c>
      <c r="H62" s="115" t="s">
        <v>24</v>
      </c>
      <c r="I62" s="115" t="s">
        <v>21</v>
      </c>
      <c r="J62" s="115" t="s">
        <v>21</v>
      </c>
      <c r="K62" s="115"/>
      <c r="L62" s="115"/>
      <c r="M62" s="115"/>
      <c r="N62" s="115"/>
      <c r="O62" s="115"/>
      <c r="P62" s="115"/>
      <c r="Q62" s="118">
        <f t="shared" si="3"/>
        <v>0.5</v>
      </c>
      <c r="R62" s="133"/>
      <c r="S62" s="5"/>
      <c r="T62" s="134"/>
      <c r="U62" s="106"/>
      <c r="V62" s="106"/>
    </row>
    <row r="63" ht="15.75" customHeight="1">
      <c r="A63" s="114">
        <f t="shared" si="1"/>
        <v>13</v>
      </c>
      <c r="B63" s="114">
        <f t="shared" si="2"/>
        <v>10</v>
      </c>
      <c r="C63" s="107" t="s">
        <v>84</v>
      </c>
      <c r="D63" s="115" t="s">
        <v>75</v>
      </c>
      <c r="E63" s="109" t="s">
        <v>95</v>
      </c>
      <c r="F63" s="115"/>
      <c r="G63" s="115" t="s">
        <v>21</v>
      </c>
      <c r="H63" s="115" t="s">
        <v>21</v>
      </c>
      <c r="I63" s="115" t="s">
        <v>21</v>
      </c>
      <c r="J63" s="115" t="s">
        <v>21</v>
      </c>
      <c r="K63" s="115"/>
      <c r="L63" s="115"/>
      <c r="M63" s="115"/>
      <c r="N63" s="115"/>
      <c r="O63" s="115"/>
      <c r="P63" s="115"/>
      <c r="Q63" s="118">
        <f t="shared" si="3"/>
        <v>1</v>
      </c>
      <c r="R63" s="133"/>
      <c r="S63" s="5"/>
      <c r="T63" s="134"/>
      <c r="U63" s="106"/>
      <c r="V63" s="106"/>
    </row>
    <row r="64" ht="15.75" customHeight="1">
      <c r="A64" s="114">
        <f t="shared" si="1"/>
        <v>15</v>
      </c>
      <c r="B64" s="114">
        <f t="shared" si="2"/>
        <v>10</v>
      </c>
      <c r="C64" s="107" t="s">
        <v>84</v>
      </c>
      <c r="D64" s="115" t="s">
        <v>302</v>
      </c>
      <c r="E64" s="109" t="s">
        <v>101</v>
      </c>
      <c r="F64" s="115" t="s">
        <v>68</v>
      </c>
      <c r="G64" s="115" t="s">
        <v>30</v>
      </c>
      <c r="H64" s="115" t="s">
        <v>21</v>
      </c>
      <c r="I64" s="115" t="s">
        <v>33</v>
      </c>
      <c r="J64" s="115" t="s">
        <v>24</v>
      </c>
      <c r="K64" s="115"/>
      <c r="L64" s="115"/>
      <c r="M64" s="115"/>
      <c r="N64" s="115"/>
      <c r="O64" s="115"/>
      <c r="P64" s="115"/>
      <c r="Q64" s="118">
        <f t="shared" si="3"/>
        <v>0.25</v>
      </c>
      <c r="R64" s="133"/>
      <c r="S64" s="5"/>
      <c r="T64" s="134"/>
      <c r="U64" s="106"/>
      <c r="V64" s="106"/>
    </row>
    <row r="65" ht="15.75" customHeight="1">
      <c r="A65" s="114">
        <f t="shared" si="1"/>
        <v>15</v>
      </c>
      <c r="B65" s="114">
        <f t="shared" si="2"/>
        <v>10</v>
      </c>
      <c r="C65" s="107" t="s">
        <v>84</v>
      </c>
      <c r="D65" s="115" t="s">
        <v>304</v>
      </c>
      <c r="E65" s="109" t="s">
        <v>101</v>
      </c>
      <c r="F65" s="115" t="s">
        <v>68</v>
      </c>
      <c r="G65" s="115" t="s">
        <v>30</v>
      </c>
      <c r="H65" s="115" t="s">
        <v>30</v>
      </c>
      <c r="I65" s="115" t="s">
        <v>30</v>
      </c>
      <c r="J65" s="115" t="s">
        <v>30</v>
      </c>
      <c r="K65" s="115"/>
      <c r="L65" s="115"/>
      <c r="M65" s="115"/>
      <c r="N65" s="115"/>
      <c r="O65" s="115"/>
      <c r="P65" s="115"/>
      <c r="Q65" s="118">
        <f t="shared" si="3"/>
        <v>0</v>
      </c>
      <c r="R65" s="133"/>
      <c r="S65" s="5"/>
      <c r="T65" s="134"/>
      <c r="U65" s="106"/>
      <c r="V65" s="106"/>
    </row>
    <row r="66" ht="15.75" customHeight="1">
      <c r="A66" s="114">
        <f t="shared" si="1"/>
        <v>15</v>
      </c>
      <c r="B66" s="114">
        <f t="shared" si="2"/>
        <v>6</v>
      </c>
      <c r="C66" s="153" t="s">
        <v>113</v>
      </c>
      <c r="D66" s="114" t="s">
        <v>298</v>
      </c>
      <c r="E66" s="109" t="s">
        <v>101</v>
      </c>
      <c r="F66" s="115" t="s">
        <v>101</v>
      </c>
      <c r="G66" s="115" t="s">
        <v>30</v>
      </c>
      <c r="H66" s="115" t="s">
        <v>30</v>
      </c>
      <c r="I66" s="115" t="s">
        <v>30</v>
      </c>
      <c r="J66" s="115" t="s">
        <v>30</v>
      </c>
      <c r="K66" s="115"/>
      <c r="L66" s="115"/>
      <c r="M66" s="115"/>
      <c r="N66" s="115"/>
      <c r="O66" s="115"/>
      <c r="P66" s="115"/>
      <c r="Q66" s="118">
        <f t="shared" si="3"/>
        <v>0</v>
      </c>
      <c r="R66" s="133"/>
      <c r="S66" s="5"/>
      <c r="T66" s="134"/>
      <c r="U66" s="106"/>
      <c r="V66" s="106"/>
    </row>
    <row r="67" ht="15.75" customHeight="1">
      <c r="A67" s="114">
        <f t="shared" si="1"/>
        <v>15</v>
      </c>
      <c r="B67" s="114">
        <f t="shared" si="2"/>
        <v>7</v>
      </c>
      <c r="C67" s="153" t="s">
        <v>46</v>
      </c>
      <c r="D67" s="115" t="s">
        <v>272</v>
      </c>
      <c r="E67" s="109" t="s">
        <v>101</v>
      </c>
      <c r="F67" s="115" t="s">
        <v>101</v>
      </c>
      <c r="G67" s="115" t="s">
        <v>30</v>
      </c>
      <c r="H67" s="115" t="s">
        <v>30</v>
      </c>
      <c r="I67" s="115" t="s">
        <v>30</v>
      </c>
      <c r="J67" s="115" t="s">
        <v>30</v>
      </c>
      <c r="K67" s="115"/>
      <c r="L67" s="115"/>
      <c r="M67" s="115"/>
      <c r="N67" s="115"/>
      <c r="O67" s="115"/>
      <c r="P67" s="115"/>
      <c r="Q67" s="118">
        <f t="shared" si="3"/>
        <v>0</v>
      </c>
      <c r="R67" s="133"/>
      <c r="S67" s="5"/>
      <c r="T67" s="134"/>
      <c r="U67" s="106"/>
      <c r="V67" s="106"/>
    </row>
    <row r="68" ht="15.75" customHeight="1">
      <c r="A68" s="114">
        <f t="shared" si="1"/>
        <v>15</v>
      </c>
      <c r="B68" s="114">
        <f t="shared" si="2"/>
        <v>9</v>
      </c>
      <c r="C68" s="107" t="s">
        <v>64</v>
      </c>
      <c r="D68" s="115" t="s">
        <v>107</v>
      </c>
      <c r="E68" s="109" t="s">
        <v>101</v>
      </c>
      <c r="F68" s="115" t="s">
        <v>101</v>
      </c>
      <c r="G68" s="115" t="s">
        <v>30</v>
      </c>
      <c r="H68" s="115" t="s">
        <v>30</v>
      </c>
      <c r="I68" s="115" t="s">
        <v>30</v>
      </c>
      <c r="J68" s="115" t="s">
        <v>30</v>
      </c>
      <c r="K68" s="115"/>
      <c r="L68" s="115"/>
      <c r="M68" s="115"/>
      <c r="N68" s="115"/>
      <c r="O68" s="115"/>
      <c r="P68" s="115"/>
      <c r="Q68" s="118">
        <f t="shared" si="3"/>
        <v>0</v>
      </c>
      <c r="R68" s="133"/>
      <c r="S68" s="5"/>
      <c r="T68" s="134"/>
      <c r="U68" s="106"/>
      <c r="V68" s="106"/>
    </row>
    <row r="69" ht="15.75" customHeight="1">
      <c r="A69" s="114">
        <f t="shared" si="1"/>
        <v>15</v>
      </c>
      <c r="B69" s="114">
        <f t="shared" si="2"/>
        <v>9</v>
      </c>
      <c r="C69" s="107" t="s">
        <v>64</v>
      </c>
      <c r="D69" s="115" t="s">
        <v>365</v>
      </c>
      <c r="E69" s="109" t="s">
        <v>101</v>
      </c>
      <c r="F69" s="115" t="s">
        <v>101</v>
      </c>
      <c r="G69" s="115" t="s">
        <v>30</v>
      </c>
      <c r="H69" s="115" t="s">
        <v>30</v>
      </c>
      <c r="I69" s="115" t="s">
        <v>30</v>
      </c>
      <c r="J69" s="115" t="s">
        <v>30</v>
      </c>
      <c r="K69" s="115"/>
      <c r="L69" s="115"/>
      <c r="M69" s="115"/>
      <c r="N69" s="115"/>
      <c r="O69" s="115"/>
      <c r="P69" s="115"/>
      <c r="Q69" s="118">
        <f t="shared" si="3"/>
        <v>0</v>
      </c>
      <c r="R69" s="133"/>
      <c r="S69" s="5"/>
      <c r="T69" s="134"/>
      <c r="U69" s="106"/>
      <c r="V69" s="106"/>
    </row>
    <row r="70" ht="15.75" customHeight="1">
      <c r="A70" s="114">
        <f t="shared" si="1"/>
        <v>15</v>
      </c>
      <c r="B70" s="114">
        <f t="shared" si="2"/>
        <v>9</v>
      </c>
      <c r="C70" s="107" t="s">
        <v>64</v>
      </c>
      <c r="D70" s="115" t="s">
        <v>138</v>
      </c>
      <c r="E70" s="109" t="s">
        <v>101</v>
      </c>
      <c r="F70" s="115" t="s">
        <v>101</v>
      </c>
      <c r="G70" s="115" t="s">
        <v>30</v>
      </c>
      <c r="H70" s="115" t="s">
        <v>30</v>
      </c>
      <c r="I70" s="115" t="s">
        <v>30</v>
      </c>
      <c r="J70" s="115" t="s">
        <v>30</v>
      </c>
      <c r="K70" s="115"/>
      <c r="L70" s="115"/>
      <c r="M70" s="115"/>
      <c r="N70" s="115"/>
      <c r="O70" s="115"/>
      <c r="P70" s="115"/>
      <c r="Q70" s="118">
        <f t="shared" si="3"/>
        <v>0</v>
      </c>
      <c r="R70" s="133"/>
      <c r="S70" s="5"/>
      <c r="T70" s="134"/>
      <c r="U70" s="106"/>
      <c r="V70" s="106"/>
    </row>
    <row r="71" ht="15.75" customHeight="1">
      <c r="A71" s="114">
        <f t="shared" si="1"/>
        <v>15</v>
      </c>
      <c r="B71" s="114">
        <f t="shared" si="2"/>
        <v>10</v>
      </c>
      <c r="C71" s="107" t="s">
        <v>84</v>
      </c>
      <c r="D71" s="115" t="s">
        <v>366</v>
      </c>
      <c r="E71" s="109" t="s">
        <v>101</v>
      </c>
      <c r="F71" s="115" t="s">
        <v>101</v>
      </c>
      <c r="G71" s="115" t="s">
        <v>30</v>
      </c>
      <c r="H71" s="115" t="s">
        <v>30</v>
      </c>
      <c r="I71" s="115" t="s">
        <v>30</v>
      </c>
      <c r="J71" s="115" t="s">
        <v>30</v>
      </c>
      <c r="K71" s="115"/>
      <c r="L71" s="115"/>
      <c r="M71" s="115"/>
      <c r="N71" s="115"/>
      <c r="O71" s="115"/>
      <c r="P71" s="115"/>
      <c r="Q71" s="118">
        <f t="shared" si="3"/>
        <v>0</v>
      </c>
      <c r="R71" s="133"/>
      <c r="S71" s="5"/>
      <c r="T71" s="134"/>
      <c r="U71" s="106"/>
      <c r="V71" s="106"/>
    </row>
    <row r="72" ht="15.75" customHeight="1">
      <c r="A72" s="114">
        <f t="shared" si="1"/>
        <v>15</v>
      </c>
      <c r="B72" s="114">
        <f t="shared" si="2"/>
        <v>10</v>
      </c>
      <c r="C72" s="107" t="s">
        <v>84</v>
      </c>
      <c r="D72" s="115" t="s">
        <v>341</v>
      </c>
      <c r="E72" s="109" t="s">
        <v>101</v>
      </c>
      <c r="F72" s="115" t="s">
        <v>101</v>
      </c>
      <c r="G72" s="115" t="s">
        <v>30</v>
      </c>
      <c r="H72" s="115" t="s">
        <v>30</v>
      </c>
      <c r="I72" s="115" t="s">
        <v>30</v>
      </c>
      <c r="J72" s="115" t="s">
        <v>30</v>
      </c>
      <c r="K72" s="115"/>
      <c r="L72" s="115"/>
      <c r="M72" s="115"/>
      <c r="N72" s="115"/>
      <c r="O72" s="115"/>
      <c r="P72" s="115"/>
      <c r="Q72" s="118">
        <f t="shared" si="3"/>
        <v>0</v>
      </c>
      <c r="R72" s="133"/>
      <c r="S72" s="5"/>
      <c r="T72" s="134"/>
      <c r="U72" s="106"/>
      <c r="V72" s="106"/>
    </row>
    <row r="73" ht="15.75" customHeight="1">
      <c r="A73" s="114">
        <f t="shared" si="1"/>
        <v>15</v>
      </c>
      <c r="B73" s="114">
        <f t="shared" si="2"/>
        <v>10</v>
      </c>
      <c r="C73" s="107" t="s">
        <v>84</v>
      </c>
      <c r="D73" s="115" t="s">
        <v>342</v>
      </c>
      <c r="E73" s="109" t="s">
        <v>101</v>
      </c>
      <c r="F73" s="115" t="s">
        <v>101</v>
      </c>
      <c r="G73" s="115" t="s">
        <v>21</v>
      </c>
      <c r="H73" s="115" t="s">
        <v>21</v>
      </c>
      <c r="I73" s="115" t="s">
        <v>21</v>
      </c>
      <c r="J73" s="115" t="s">
        <v>30</v>
      </c>
      <c r="K73" s="115"/>
      <c r="L73" s="115"/>
      <c r="M73" s="115"/>
      <c r="N73" s="115"/>
      <c r="O73" s="115"/>
      <c r="P73" s="115"/>
      <c r="Q73" s="118">
        <f t="shared" si="3"/>
        <v>0.75</v>
      </c>
      <c r="R73" s="133"/>
      <c r="S73" s="5"/>
      <c r="T73" s="134"/>
      <c r="U73" s="106"/>
      <c r="V73" s="106"/>
    </row>
    <row r="74" ht="15.75" customHeight="1">
      <c r="A74" s="114">
        <f t="shared" si="1"/>
        <v>15</v>
      </c>
      <c r="B74" s="114">
        <f t="shared" si="2"/>
        <v>10</v>
      </c>
      <c r="C74" s="107" t="s">
        <v>84</v>
      </c>
      <c r="D74" s="115" t="s">
        <v>303</v>
      </c>
      <c r="E74" s="109" t="s">
        <v>101</v>
      </c>
      <c r="F74" s="115" t="s">
        <v>101</v>
      </c>
      <c r="G74" s="115" t="s">
        <v>30</v>
      </c>
      <c r="H74" s="115" t="s">
        <v>30</v>
      </c>
      <c r="I74" s="115" t="s">
        <v>30</v>
      </c>
      <c r="J74" s="115" t="s">
        <v>30</v>
      </c>
      <c r="K74" s="115"/>
      <c r="L74" s="115"/>
      <c r="M74" s="115"/>
      <c r="N74" s="115"/>
      <c r="O74" s="115"/>
      <c r="P74" s="115"/>
      <c r="Q74" s="118">
        <f t="shared" si="3"/>
        <v>0</v>
      </c>
      <c r="R74" s="133"/>
      <c r="S74" s="5"/>
      <c r="T74" s="134"/>
      <c r="U74" s="106"/>
      <c r="V74" s="106"/>
    </row>
    <row r="75" ht="15.75" customHeight="1">
      <c r="A75" s="114">
        <f t="shared" si="1"/>
        <v>15</v>
      </c>
      <c r="B75" s="114">
        <f t="shared" si="2"/>
        <v>10</v>
      </c>
      <c r="C75" s="107" t="s">
        <v>84</v>
      </c>
      <c r="D75" s="115" t="s">
        <v>343</v>
      </c>
      <c r="E75" s="109" t="s">
        <v>101</v>
      </c>
      <c r="F75" s="115" t="s">
        <v>101</v>
      </c>
      <c r="G75" s="115" t="s">
        <v>30</v>
      </c>
      <c r="H75" s="115" t="s">
        <v>30</v>
      </c>
      <c r="I75" s="115" t="s">
        <v>30</v>
      </c>
      <c r="J75" s="115" t="s">
        <v>30</v>
      </c>
      <c r="K75" s="115"/>
      <c r="L75" s="115"/>
      <c r="M75" s="115"/>
      <c r="N75" s="115"/>
      <c r="O75" s="115"/>
      <c r="P75" s="115"/>
      <c r="Q75" s="118">
        <f t="shared" si="3"/>
        <v>0</v>
      </c>
      <c r="R75" s="133"/>
      <c r="S75" s="5"/>
      <c r="T75" s="134"/>
      <c r="U75" s="106"/>
      <c r="V75" s="106"/>
    </row>
    <row r="76" ht="15.75" customHeight="1">
      <c r="A76" s="114">
        <f t="shared" si="1"/>
        <v>15</v>
      </c>
      <c r="B76" s="114">
        <f t="shared" si="2"/>
        <v>11</v>
      </c>
      <c r="C76" s="107" t="s">
        <v>79</v>
      </c>
      <c r="D76" s="115" t="s">
        <v>333</v>
      </c>
      <c r="E76" s="109" t="s">
        <v>101</v>
      </c>
      <c r="F76" s="115" t="s">
        <v>101</v>
      </c>
      <c r="G76" s="115" t="s">
        <v>30</v>
      </c>
      <c r="H76" s="115" t="s">
        <v>30</v>
      </c>
      <c r="I76" s="115" t="s">
        <v>30</v>
      </c>
      <c r="J76" s="115" t="s">
        <v>30</v>
      </c>
      <c r="K76" s="115"/>
      <c r="L76" s="115"/>
      <c r="M76" s="115"/>
      <c r="N76" s="115"/>
      <c r="O76" s="115"/>
      <c r="P76" s="115"/>
      <c r="Q76" s="118">
        <f t="shared" si="3"/>
        <v>0</v>
      </c>
      <c r="R76" s="133"/>
      <c r="S76" s="5"/>
      <c r="T76" s="134"/>
      <c r="U76" s="106"/>
      <c r="V76" s="106"/>
    </row>
    <row r="77" ht="15.75" customHeight="1">
      <c r="A77" s="114">
        <f t="shared" si="1"/>
        <v>15</v>
      </c>
      <c r="B77" s="114">
        <f t="shared" si="2"/>
        <v>11</v>
      </c>
      <c r="C77" s="107" t="s">
        <v>79</v>
      </c>
      <c r="D77" s="115" t="s">
        <v>344</v>
      </c>
      <c r="E77" s="109" t="s">
        <v>101</v>
      </c>
      <c r="F77" s="115" t="s">
        <v>101</v>
      </c>
      <c r="G77" s="115" t="s">
        <v>30</v>
      </c>
      <c r="H77" s="115" t="s">
        <v>30</v>
      </c>
      <c r="I77" s="115" t="s">
        <v>30</v>
      </c>
      <c r="J77" s="115" t="s">
        <v>30</v>
      </c>
      <c r="K77" s="115"/>
      <c r="L77" s="115"/>
      <c r="M77" s="115"/>
      <c r="N77" s="115"/>
      <c r="O77" s="115"/>
      <c r="P77" s="115"/>
      <c r="Q77" s="118">
        <f t="shared" si="3"/>
        <v>0</v>
      </c>
      <c r="R77" s="133"/>
      <c r="S77" s="5"/>
      <c r="T77" s="134"/>
      <c r="U77" s="106"/>
      <c r="V77" s="106"/>
    </row>
    <row r="78" ht="15.75" customHeight="1">
      <c r="A78" s="114">
        <f t="shared" si="1"/>
        <v>15</v>
      </c>
      <c r="B78" s="114">
        <f t="shared" si="2"/>
        <v>11</v>
      </c>
      <c r="C78" s="107" t="s">
        <v>79</v>
      </c>
      <c r="D78" s="115" t="s">
        <v>347</v>
      </c>
      <c r="E78" s="109" t="s">
        <v>101</v>
      </c>
      <c r="F78" s="184" t="s">
        <v>101</v>
      </c>
      <c r="G78" s="184" t="s">
        <v>30</v>
      </c>
      <c r="H78" s="115" t="s">
        <v>30</v>
      </c>
      <c r="I78" s="115" t="s">
        <v>30</v>
      </c>
      <c r="J78" s="115" t="s">
        <v>30</v>
      </c>
      <c r="K78" s="115"/>
      <c r="L78" s="115"/>
      <c r="M78" s="115"/>
      <c r="N78" s="115"/>
      <c r="O78" s="115"/>
      <c r="P78" s="115"/>
      <c r="Q78" s="118">
        <f t="shared" si="3"/>
        <v>0</v>
      </c>
      <c r="R78" s="133"/>
      <c r="S78" s="5"/>
      <c r="T78" s="134"/>
      <c r="U78" s="106"/>
      <c r="V78" s="106"/>
    </row>
    <row r="79" ht="15.75" customHeight="1">
      <c r="A79" s="114">
        <f t="shared" si="1"/>
        <v>15</v>
      </c>
      <c r="B79" s="114">
        <f t="shared" si="2"/>
        <v>11</v>
      </c>
      <c r="C79" s="107" t="s">
        <v>79</v>
      </c>
      <c r="D79" s="115" t="s">
        <v>315</v>
      </c>
      <c r="E79" s="109" t="s">
        <v>101</v>
      </c>
      <c r="F79" s="161" t="s">
        <v>101</v>
      </c>
      <c r="G79" s="161" t="s">
        <v>30</v>
      </c>
      <c r="H79" s="115" t="s">
        <v>30</v>
      </c>
      <c r="I79" s="115" t="s">
        <v>30</v>
      </c>
      <c r="J79" s="115" t="s">
        <v>30</v>
      </c>
      <c r="K79" s="115"/>
      <c r="L79" s="115"/>
      <c r="M79" s="115"/>
      <c r="N79" s="115"/>
      <c r="O79" s="115"/>
      <c r="P79" s="115"/>
      <c r="Q79" s="118">
        <f t="shared" si="3"/>
        <v>0</v>
      </c>
      <c r="R79" s="133"/>
      <c r="S79" s="5"/>
      <c r="T79" s="134"/>
      <c r="U79" s="106"/>
      <c r="V79" s="106"/>
    </row>
    <row r="80" ht="15.75" customHeight="1">
      <c r="A80" s="114">
        <f t="shared" si="1"/>
        <v>15</v>
      </c>
      <c r="B80" s="114">
        <f t="shared" si="2"/>
        <v>11</v>
      </c>
      <c r="C80" s="107" t="s">
        <v>79</v>
      </c>
      <c r="D80" s="115" t="s">
        <v>308</v>
      </c>
      <c r="E80" s="109" t="s">
        <v>101</v>
      </c>
      <c r="F80" s="184" t="s">
        <v>101</v>
      </c>
      <c r="G80" s="184" t="s">
        <v>24</v>
      </c>
      <c r="H80" s="115" t="s">
        <v>30</v>
      </c>
      <c r="I80" s="115" t="s">
        <v>30</v>
      </c>
      <c r="J80" s="115" t="s">
        <v>30</v>
      </c>
      <c r="K80" s="115"/>
      <c r="L80" s="115"/>
      <c r="M80" s="115"/>
      <c r="N80" s="115"/>
      <c r="O80" s="115"/>
      <c r="P80" s="115"/>
      <c r="Q80" s="118">
        <f t="shared" si="3"/>
        <v>0</v>
      </c>
      <c r="R80" s="138"/>
      <c r="T80" s="138"/>
      <c r="U80" s="138"/>
      <c r="V80" s="138"/>
    </row>
    <row r="81" ht="15.75" customHeight="1">
      <c r="A81" s="114">
        <f t="shared" si="1"/>
        <v>15</v>
      </c>
      <c r="B81" s="114">
        <f t="shared" si="2"/>
        <v>15</v>
      </c>
      <c r="C81" s="107"/>
      <c r="D81" s="115"/>
      <c r="E81" s="109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8">
        <f t="shared" si="3"/>
        <v>0</v>
      </c>
      <c r="R81" s="138"/>
      <c r="T81" s="138"/>
      <c r="U81" s="138"/>
      <c r="V81" s="138"/>
    </row>
    <row r="82" ht="15.75" customHeight="1">
      <c r="A82" s="114">
        <f t="shared" si="1"/>
        <v>15</v>
      </c>
      <c r="B82" s="114">
        <f t="shared" si="2"/>
        <v>15</v>
      </c>
      <c r="C82" s="107"/>
      <c r="D82" s="115"/>
      <c r="E82" s="109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8">
        <f t="shared" si="3"/>
        <v>0</v>
      </c>
      <c r="R82" s="138"/>
      <c r="T82" s="138"/>
      <c r="U82" s="138"/>
      <c r="V82" s="138"/>
    </row>
    <row r="83" ht="15.75" customHeight="1">
      <c r="A83" s="114">
        <f t="shared" si="1"/>
        <v>15</v>
      </c>
      <c r="B83" s="114">
        <f t="shared" si="2"/>
        <v>15</v>
      </c>
      <c r="C83" s="107"/>
      <c r="D83" s="115"/>
      <c r="E83" s="109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8">
        <f t="shared" si="3"/>
        <v>0</v>
      </c>
      <c r="R83" s="138"/>
      <c r="T83" s="138"/>
      <c r="U83" s="138"/>
      <c r="V83" s="138"/>
    </row>
    <row r="84" ht="15.75" customHeight="1">
      <c r="A84" s="114">
        <f t="shared" si="1"/>
        <v>15</v>
      </c>
      <c r="B84" s="114">
        <f t="shared" si="2"/>
        <v>15</v>
      </c>
      <c r="C84" s="107"/>
      <c r="D84" s="115"/>
      <c r="E84" s="109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8">
        <f t="shared" si="3"/>
        <v>0</v>
      </c>
      <c r="R84" s="138"/>
      <c r="T84" s="138"/>
      <c r="U84" s="138"/>
      <c r="V84" s="138"/>
    </row>
    <row r="85" ht="15.75" customHeight="1">
      <c r="A85" s="114">
        <f t="shared" si="1"/>
        <v>15</v>
      </c>
      <c r="B85" s="114">
        <f t="shared" si="2"/>
        <v>15</v>
      </c>
      <c r="C85" s="107"/>
      <c r="D85" s="115"/>
      <c r="E85" s="109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8">
        <f t="shared" si="3"/>
        <v>0</v>
      </c>
      <c r="R85" s="138"/>
      <c r="T85" s="138"/>
      <c r="U85" s="138"/>
      <c r="V85" s="138"/>
    </row>
    <row r="86" ht="15.75" customHeight="1">
      <c r="A86" s="114">
        <f t="shared" si="1"/>
        <v>15</v>
      </c>
      <c r="B86" s="114">
        <f t="shared" si="2"/>
        <v>15</v>
      </c>
      <c r="C86" s="107"/>
      <c r="D86" s="115"/>
      <c r="E86" s="109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8">
        <f t="shared" si="3"/>
        <v>0</v>
      </c>
      <c r="R86" s="138"/>
      <c r="T86" s="138"/>
      <c r="U86" s="138"/>
      <c r="V86" s="138"/>
    </row>
    <row r="87" ht="15.75" customHeight="1">
      <c r="A87" s="114">
        <f t="shared" si="1"/>
        <v>15</v>
      </c>
      <c r="B87" s="114">
        <f t="shared" si="2"/>
        <v>15</v>
      </c>
      <c r="C87" s="107"/>
      <c r="D87" s="115"/>
      <c r="E87" s="109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8">
        <f t="shared" si="3"/>
        <v>0</v>
      </c>
      <c r="R87" s="138"/>
      <c r="T87" s="138"/>
      <c r="U87" s="138"/>
      <c r="V87" s="138"/>
    </row>
    <row r="88" ht="15.75" customHeight="1">
      <c r="A88" s="114">
        <f t="shared" si="1"/>
        <v>15</v>
      </c>
      <c r="B88" s="114">
        <f t="shared" si="2"/>
        <v>15</v>
      </c>
      <c r="C88" s="107"/>
      <c r="D88" s="115"/>
      <c r="E88" s="109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8">
        <f t="shared" si="3"/>
        <v>0</v>
      </c>
      <c r="R88" s="138"/>
      <c r="T88" s="138"/>
      <c r="U88" s="138"/>
      <c r="V88" s="138"/>
    </row>
    <row r="89" ht="15.75" customHeight="1">
      <c r="A89" s="114">
        <f t="shared" si="1"/>
        <v>15</v>
      </c>
      <c r="B89" s="114">
        <f t="shared" si="2"/>
        <v>15</v>
      </c>
      <c r="C89" s="107"/>
      <c r="D89" s="115"/>
      <c r="E89" s="109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8">
        <f t="shared" si="3"/>
        <v>0</v>
      </c>
      <c r="R89" s="138"/>
      <c r="T89" s="138"/>
      <c r="U89" s="138"/>
      <c r="V89" s="138"/>
    </row>
    <row r="90" ht="15.75" customHeight="1">
      <c r="A90" s="114">
        <f t="shared" si="1"/>
        <v>15</v>
      </c>
      <c r="B90" s="114">
        <f t="shared" si="2"/>
        <v>15</v>
      </c>
      <c r="C90" s="107"/>
      <c r="D90" s="115"/>
      <c r="E90" s="109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8">
        <f t="shared" si="3"/>
        <v>0</v>
      </c>
      <c r="R90" s="138"/>
      <c r="T90" s="138"/>
      <c r="U90" s="138"/>
      <c r="V90" s="138"/>
    </row>
    <row r="91" ht="15.75" customHeight="1">
      <c r="A91" s="114">
        <f t="shared" si="1"/>
        <v>15</v>
      </c>
      <c r="B91" s="114">
        <f t="shared" si="2"/>
        <v>15</v>
      </c>
      <c r="C91" s="107"/>
      <c r="D91" s="115"/>
      <c r="E91" s="109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8">
        <f t="shared" si="3"/>
        <v>0</v>
      </c>
      <c r="R91" s="138"/>
      <c r="T91" s="138"/>
      <c r="U91" s="138"/>
      <c r="V91" s="138"/>
    </row>
    <row r="92" ht="15.75" customHeight="1">
      <c r="A92" s="114">
        <f t="shared" si="1"/>
        <v>15</v>
      </c>
      <c r="B92" s="114">
        <f t="shared" si="2"/>
        <v>15</v>
      </c>
      <c r="C92" s="107"/>
      <c r="D92" s="115"/>
      <c r="E92" s="109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8">
        <f t="shared" si="3"/>
        <v>0</v>
      </c>
      <c r="R92" s="138"/>
      <c r="T92" s="138"/>
      <c r="U92" s="138"/>
      <c r="V92" s="138"/>
    </row>
    <row r="93" ht="15.75" customHeight="1">
      <c r="A93" s="114">
        <f t="shared" si="1"/>
        <v>15</v>
      </c>
      <c r="B93" s="114">
        <f t="shared" si="2"/>
        <v>15</v>
      </c>
      <c r="C93" s="107"/>
      <c r="D93" s="115"/>
      <c r="E93" s="109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8">
        <f t="shared" si="3"/>
        <v>0</v>
      </c>
      <c r="R93" s="138"/>
      <c r="S93" s="138"/>
      <c r="T93" s="138"/>
      <c r="U93" s="138"/>
      <c r="V93" s="138"/>
    </row>
    <row r="94" ht="15.75" customHeight="1">
      <c r="A94" s="114">
        <f t="shared" si="1"/>
        <v>15</v>
      </c>
      <c r="B94" s="114">
        <f t="shared" si="2"/>
        <v>15</v>
      </c>
      <c r="C94" s="107"/>
      <c r="D94" s="115"/>
      <c r="E94" s="109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8">
        <f t="shared" si="3"/>
        <v>0</v>
      </c>
      <c r="R94" s="138"/>
      <c r="S94" s="138"/>
      <c r="T94" s="138"/>
      <c r="U94" s="138"/>
      <c r="V94" s="138"/>
    </row>
    <row r="95" ht="15.75" customHeight="1">
      <c r="A95" s="114">
        <f t="shared" si="1"/>
        <v>15</v>
      </c>
      <c r="B95" s="114">
        <f t="shared" si="2"/>
        <v>15</v>
      </c>
      <c r="C95" s="107"/>
      <c r="D95" s="115"/>
      <c r="E95" s="109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8">
        <f t="shared" si="3"/>
        <v>0</v>
      </c>
      <c r="R95" s="138"/>
      <c r="S95" s="138"/>
      <c r="T95" s="138"/>
      <c r="U95" s="138"/>
      <c r="V95" s="138"/>
    </row>
    <row r="96" ht="15.75" customHeight="1">
      <c r="A96" s="114">
        <f t="shared" si="1"/>
        <v>15</v>
      </c>
      <c r="B96" s="114">
        <f t="shared" si="2"/>
        <v>15</v>
      </c>
      <c r="C96" s="107"/>
      <c r="D96" s="115"/>
      <c r="E96" s="109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8">
        <f t="shared" si="3"/>
        <v>0</v>
      </c>
      <c r="R96" s="138"/>
      <c r="S96" s="138"/>
      <c r="T96" s="138"/>
      <c r="U96" s="138"/>
      <c r="V96" s="138"/>
    </row>
    <row r="97" ht="15.75" customHeight="1">
      <c r="A97" s="114">
        <f t="shared" si="1"/>
        <v>15</v>
      </c>
      <c r="B97" s="114">
        <f t="shared" si="2"/>
        <v>15</v>
      </c>
      <c r="C97" s="107"/>
      <c r="D97" s="115"/>
      <c r="E97" s="109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8">
        <f t="shared" si="3"/>
        <v>0</v>
      </c>
      <c r="R97" s="138"/>
      <c r="S97" s="138"/>
      <c r="T97" s="138"/>
      <c r="U97" s="138"/>
      <c r="V97" s="138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P$97"/>
  <mergeCells count="85"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85:S85"/>
    <mergeCell ref="R86:S86"/>
    <mergeCell ref="R87:S87"/>
    <mergeCell ref="R88:S88"/>
    <mergeCell ref="R89:S89"/>
    <mergeCell ref="R90:S90"/>
    <mergeCell ref="R91:S91"/>
    <mergeCell ref="R92:S92"/>
    <mergeCell ref="R78:S78"/>
    <mergeCell ref="R79:S79"/>
    <mergeCell ref="R80:S80"/>
    <mergeCell ref="R81:S81"/>
    <mergeCell ref="R82:S82"/>
    <mergeCell ref="R83:S83"/>
    <mergeCell ref="R84:S84"/>
    <mergeCell ref="C1:E1"/>
    <mergeCell ref="G1:P1"/>
    <mergeCell ref="R11:S11"/>
    <mergeCell ref="U11:V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</mergeCells>
  <conditionalFormatting sqref="G3:K97 L3:L5 M3:P97 R3:R7 L7 L9:L97">
    <cfRule type="containsText" dxfId="2" priority="1" operator="containsText" text="A">
      <formula>NOT(ISERROR(SEARCH(("A"),(G3))))</formula>
    </cfRule>
  </conditionalFormatting>
  <conditionalFormatting sqref="G3:K97 L3:L5 M3:P97 R3:R7 L7 L9:L97">
    <cfRule type="containsText" dxfId="3" priority="2" operator="containsText" text="F">
      <formula>NOT(ISERROR(SEARCH(("F"),(G3))))</formula>
    </cfRule>
  </conditionalFormatting>
  <conditionalFormatting sqref="G3:K97 L3:L5 M3:P97 R3:R7 L7 L9:L97">
    <cfRule type="containsText" dxfId="4" priority="3" operator="containsText" text="J">
      <formula>NOT(ISERROR(SEARCH(("J"),(G3))))</formula>
    </cfRule>
  </conditionalFormatting>
  <conditionalFormatting sqref="G3:K97 L3:L5 M3:P97 R3:R7 L7 L9:L97">
    <cfRule type="containsText" dxfId="5" priority="4" operator="containsText" text="R">
      <formula>NOT(ISERROR(SEARCH(("R"),(G3))))</formula>
    </cfRule>
  </conditionalFormatting>
  <conditionalFormatting sqref="G3:K97 L3:L5 M3:P97 R3:R7 L7 L9:L97">
    <cfRule type="containsText" dxfId="6" priority="5" operator="containsText" text="L">
      <formula>NOT(ISERROR(SEARCH(("L"),(G3))))</formula>
    </cfRule>
  </conditionalFormatting>
  <conditionalFormatting sqref="T13:T79">
    <cfRule type="expression" dxfId="7" priority="6">
      <formula>AND(ISNUMBER(T13),TRUNC(T13)&lt;TODAY())</formula>
    </cfRule>
  </conditionalFormatting>
  <conditionalFormatting sqref="T13:T79">
    <cfRule type="expression" dxfId="8" priority="7">
      <formula>AND(ISNUMBER(T13),TRUNC(T13)&gt;TODAY())</formula>
    </cfRule>
  </conditionalFormatting>
  <conditionalFormatting sqref="T13:T79">
    <cfRule type="timePeriod" dxfId="9" priority="8" timePeriod="today"/>
  </conditionalFormatting>
  <conditionalFormatting sqref="U13:V79">
    <cfRule type="containsText" dxfId="1" priority="9" operator="containsText" text="Si">
      <formula>NOT(ISERROR(SEARCH(("Si"),(U13))))</formula>
    </cfRule>
  </conditionalFormatting>
  <conditionalFormatting sqref="U13:V79">
    <cfRule type="containsText" dxfId="7" priority="10" operator="containsText" text="No">
      <formula>NOT(ISERROR(SEARCH(("No"),(U13))))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0.86"/>
    <col customWidth="1" min="11" max="11" width="7.57"/>
    <col customWidth="1" min="12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9.0</v>
      </c>
      <c r="Y1" s="10" t="s">
        <v>6</v>
      </c>
      <c r="Z1" s="5"/>
      <c r="AA1" s="11" t="s">
        <v>7</v>
      </c>
      <c r="AB1" s="7"/>
      <c r="AC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8">
        <v>43405.0</v>
      </c>
      <c r="L2" s="19">
        <v>43408.0</v>
      </c>
      <c r="M2" s="20">
        <v>43410.0</v>
      </c>
      <c r="N2" s="20">
        <v>43412.0</v>
      </c>
      <c r="O2" s="19">
        <v>43415.0</v>
      </c>
      <c r="P2" s="20">
        <v>43417.0</v>
      </c>
      <c r="Q2" s="20">
        <v>43419.0</v>
      </c>
      <c r="R2" s="19">
        <v>43422.0</v>
      </c>
      <c r="S2" s="20">
        <v>43424.0</v>
      </c>
      <c r="T2" s="20">
        <v>43426.0</v>
      </c>
      <c r="U2" s="19">
        <v>43429.0</v>
      </c>
      <c r="V2" s="20">
        <v>43431.0</v>
      </c>
      <c r="W2" s="20">
        <v>43433.0</v>
      </c>
      <c r="X2" s="21" t="s">
        <v>16</v>
      </c>
      <c r="Y2" s="22"/>
      <c r="Z2" s="22"/>
      <c r="AA2" s="23"/>
      <c r="AB2" s="24"/>
      <c r="AC2" s="22"/>
    </row>
    <row r="3" ht="15.75" customHeight="1">
      <c r="A3" s="25">
        <f t="shared" ref="A3:A37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5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18</v>
      </c>
      <c r="E3" s="28" t="s">
        <v>19</v>
      </c>
      <c r="F3" s="28"/>
      <c r="G3" s="29" t="s">
        <v>20</v>
      </c>
      <c r="H3" s="30" t="s">
        <v>21</v>
      </c>
      <c r="I3" s="31" t="s">
        <v>22</v>
      </c>
      <c r="J3" s="32" t="s">
        <v>23</v>
      </c>
      <c r="K3" s="30" t="s">
        <v>24</v>
      </c>
      <c r="L3" s="30"/>
      <c r="M3" s="30" t="s">
        <v>21</v>
      </c>
      <c r="N3" s="30" t="s">
        <v>21</v>
      </c>
      <c r="O3" s="30" t="s">
        <v>21</v>
      </c>
      <c r="P3" s="30" t="s">
        <v>21</v>
      </c>
      <c r="Q3" s="30"/>
      <c r="R3" s="30"/>
      <c r="S3" s="30"/>
      <c r="T3" s="30"/>
      <c r="U3" s="30"/>
      <c r="V3" s="30"/>
      <c r="W3" s="30"/>
      <c r="X3" s="33" t="str">
        <f t="shared" ref="X3:X7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)/$X$1</f>
        <v>#REF!</v>
      </c>
      <c r="Y3" s="34" t="s">
        <v>21</v>
      </c>
      <c r="Z3" s="35" t="s">
        <v>25</v>
      </c>
      <c r="AA3" s="36"/>
      <c r="AB3" s="36"/>
      <c r="AC3" s="37"/>
    </row>
    <row r="4" ht="15.75" customHeight="1">
      <c r="A4" s="25">
        <f t="shared" si="1"/>
        <v>1</v>
      </c>
      <c r="B4" s="25">
        <f t="shared" si="2"/>
        <v>3</v>
      </c>
      <c r="C4" s="26" t="s">
        <v>26</v>
      </c>
      <c r="D4" s="27" t="s">
        <v>27</v>
      </c>
      <c r="E4" s="28" t="s">
        <v>28</v>
      </c>
      <c r="F4" s="28" t="s">
        <v>29</v>
      </c>
      <c r="G4" s="29" t="s">
        <v>20</v>
      </c>
      <c r="H4" s="30" t="s">
        <v>30</v>
      </c>
      <c r="I4" s="31" t="s">
        <v>22</v>
      </c>
      <c r="J4" s="32" t="s">
        <v>23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0" t="s">
        <v>30</v>
      </c>
      <c r="W4" s="30" t="s">
        <v>30</v>
      </c>
      <c r="X4" s="33" t="str">
        <f t="shared" si="3"/>
        <v>#REF!</v>
      </c>
      <c r="Y4" s="30" t="s">
        <v>33</v>
      </c>
      <c r="Z4" s="38" t="s">
        <v>34</v>
      </c>
      <c r="AA4" s="4"/>
      <c r="AB4" s="4"/>
      <c r="AC4" s="5"/>
    </row>
    <row r="5" ht="15.75" customHeight="1">
      <c r="A5" s="25">
        <f t="shared" si="1"/>
        <v>1</v>
      </c>
      <c r="B5" s="25">
        <f t="shared" si="2"/>
        <v>15</v>
      </c>
      <c r="C5" s="26" t="s">
        <v>31</v>
      </c>
      <c r="D5" s="27" t="s">
        <v>35</v>
      </c>
      <c r="E5" s="28" t="s">
        <v>19</v>
      </c>
      <c r="F5" s="28"/>
      <c r="G5" s="29" t="s">
        <v>20</v>
      </c>
      <c r="H5" s="30" t="s">
        <v>30</v>
      </c>
      <c r="I5" s="31" t="s">
        <v>22</v>
      </c>
      <c r="J5" s="32" t="s">
        <v>23</v>
      </c>
      <c r="K5" s="30" t="s">
        <v>21</v>
      </c>
      <c r="L5" s="30" t="s">
        <v>30</v>
      </c>
      <c r="M5" s="30" t="s">
        <v>30</v>
      </c>
      <c r="N5" s="30" t="s">
        <v>21</v>
      </c>
      <c r="O5" s="30" t="s">
        <v>30</v>
      </c>
      <c r="P5" s="30" t="s">
        <v>30</v>
      </c>
      <c r="Q5" s="30" t="s">
        <v>21</v>
      </c>
      <c r="R5" s="30" t="s">
        <v>30</v>
      </c>
      <c r="S5" s="30" t="s">
        <v>30</v>
      </c>
      <c r="T5" s="30" t="s">
        <v>21</v>
      </c>
      <c r="U5" s="30" t="s">
        <v>30</v>
      </c>
      <c r="V5" s="30" t="s">
        <v>30</v>
      </c>
      <c r="W5" s="30" t="s">
        <v>21</v>
      </c>
      <c r="X5" s="33" t="str">
        <f t="shared" si="3"/>
        <v>#REF!</v>
      </c>
      <c r="Y5" s="30" t="s">
        <v>24</v>
      </c>
      <c r="Z5" s="38" t="s">
        <v>36</v>
      </c>
      <c r="AA5" s="4"/>
      <c r="AB5" s="4"/>
      <c r="AC5" s="5"/>
    </row>
    <row r="6" ht="15.75" customHeight="1">
      <c r="A6" s="25">
        <f t="shared" si="1"/>
        <v>1</v>
      </c>
      <c r="B6" s="25">
        <f t="shared" si="2"/>
        <v>15</v>
      </c>
      <c r="C6" s="26" t="s">
        <v>31</v>
      </c>
      <c r="D6" s="27" t="s">
        <v>32</v>
      </c>
      <c r="E6" s="28" t="s">
        <v>19</v>
      </c>
      <c r="F6" s="28"/>
      <c r="G6" s="29" t="s">
        <v>20</v>
      </c>
      <c r="H6" s="30" t="s">
        <v>30</v>
      </c>
      <c r="I6" s="31" t="s">
        <v>22</v>
      </c>
      <c r="J6" s="32" t="s">
        <v>23</v>
      </c>
      <c r="K6" s="30" t="s">
        <v>30</v>
      </c>
      <c r="L6" s="30" t="s">
        <v>30</v>
      </c>
      <c r="M6" s="30" t="s">
        <v>30</v>
      </c>
      <c r="N6" s="30" t="s">
        <v>30</v>
      </c>
      <c r="O6" s="30" t="s">
        <v>30</v>
      </c>
      <c r="P6" s="30" t="s">
        <v>30</v>
      </c>
      <c r="Q6" s="30" t="s">
        <v>30</v>
      </c>
      <c r="R6" s="30" t="s">
        <v>30</v>
      </c>
      <c r="S6" s="30" t="s">
        <v>30</v>
      </c>
      <c r="T6" s="30" t="s">
        <v>30</v>
      </c>
      <c r="U6" s="30" t="s">
        <v>30</v>
      </c>
      <c r="V6" s="30" t="s">
        <v>30</v>
      </c>
      <c r="W6" s="30" t="s">
        <v>30</v>
      </c>
      <c r="X6" s="33" t="str">
        <f t="shared" si="3"/>
        <v>#REF!</v>
      </c>
      <c r="Y6" s="30" t="s">
        <v>37</v>
      </c>
      <c r="Z6" s="40" t="s">
        <v>44</v>
      </c>
      <c r="AA6" s="4"/>
      <c r="AB6" s="4"/>
      <c r="AC6" s="5"/>
    </row>
    <row r="7" ht="15.75" customHeight="1">
      <c r="A7" s="25">
        <f t="shared" si="1"/>
        <v>2</v>
      </c>
      <c r="B7" s="25">
        <f t="shared" si="2"/>
        <v>4</v>
      </c>
      <c r="C7" s="26" t="s">
        <v>39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 t="s">
        <v>24</v>
      </c>
      <c r="L7" s="30"/>
      <c r="M7" s="39" t="s">
        <v>21</v>
      </c>
      <c r="N7" s="30" t="s">
        <v>21</v>
      </c>
      <c r="O7" s="30" t="s">
        <v>21</v>
      </c>
      <c r="P7" s="30" t="s">
        <v>21</v>
      </c>
      <c r="Q7" s="30" t="s">
        <v>21</v>
      </c>
      <c r="R7" s="30"/>
      <c r="S7" s="30"/>
      <c r="T7" s="30"/>
      <c r="U7" s="30"/>
      <c r="V7" s="30"/>
      <c r="W7" s="30"/>
      <c r="X7" s="33" t="str">
        <f t="shared" si="3"/>
        <v>#REF!</v>
      </c>
      <c r="Y7" s="30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47</v>
      </c>
      <c r="E8" s="28" t="s">
        <v>41</v>
      </c>
      <c r="F8" s="28" t="s">
        <v>48</v>
      </c>
      <c r="G8" s="29" t="s">
        <v>49</v>
      </c>
      <c r="H8" s="30" t="s">
        <v>21</v>
      </c>
      <c r="I8" s="31" t="s">
        <v>50</v>
      </c>
      <c r="J8" s="32" t="s">
        <v>51</v>
      </c>
      <c r="K8" s="30" t="s">
        <v>21</v>
      </c>
      <c r="L8" s="30"/>
      <c r="M8" s="41" t="s">
        <v>21</v>
      </c>
      <c r="N8" s="30" t="s">
        <v>21</v>
      </c>
      <c r="O8" s="30" t="s">
        <v>21</v>
      </c>
      <c r="P8" s="30" t="s">
        <v>21</v>
      </c>
      <c r="Q8" s="30" t="s">
        <v>21</v>
      </c>
      <c r="R8" s="30"/>
      <c r="S8" s="30" t="s">
        <v>24</v>
      </c>
      <c r="T8" s="30"/>
      <c r="U8" s="30"/>
      <c r="V8" s="30"/>
      <c r="W8" s="30"/>
      <c r="X8" s="33" t="str">
        <f t="shared" ref="X8:X9" si="4">SUM( (COUNTIF(K8,"A") + (COUNTIF(K8,"T")/2) + (COUNTIF(K8,"O")/2) )+ (COUNTIF(M8,"A") + (COUNTIF(M8,"T")/2) + (COUNTIF(M8,"O")/2) )+ (COUNTIF(#REF!,"A") + (COUNTIF(#REF!,"T")/2) + (COUNTIF(#REF!,"O")/2) )+ (COUNTIF(N8,"A") + (COUNTIF(N8,"T")/2) + (COUNTIF(N8,"O")/2) )+ (COUNTIF(O8,"A") + (COUNTIF(O8,"T")/2) + (COUNTIF(O8,"O")/2) )+ (COUNTIF(P8,"A") + (COUNTIF(P8,"T")/2) + (COUNTIF(P8,"O")/2) )+ (COUNTIF(Q8,"A") + (COUNTIF(Q8,"T")/2) + (COUNTIF(Q8,"O")/2) )+ (COUNTIF(R8,"A") + (COUNTIF(R8,"T")/2) + (COUNTIF(R8,"O")/2) )+ (COUNTIF(S8,"A") + (COUNTIF(S8,"T")/2) + (COUNTIF(S8,"O")/2) )+ (COUNTIF(#REF!,"A") + (COUNTIF(#REF!,"T")/2) + (COUNTIF(#REF!,"O")/2) )+ (COUNTIF(T8,"A") + (COUNTIF(T8,"T")/2) + (COUNTIF(T8,"O")/2) )+ (COUNTIF(U8,"A") + (COUNTIF(U8,"T")/2) + (COUNTIF(U8,"O")/2) )+ (COUNTIF(V8,"A") + (COUNTIF(V8,"T")/2) + (COUNTIF(V8,"O")/2) ) )/$X$1</f>
        <v>#REF!</v>
      </c>
      <c r="Y8" s="30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55</v>
      </c>
      <c r="E9" s="28" t="s">
        <v>41</v>
      </c>
      <c r="F9" s="28" t="s">
        <v>56</v>
      </c>
      <c r="G9" s="29" t="s">
        <v>49</v>
      </c>
      <c r="H9" s="30" t="s">
        <v>21</v>
      </c>
      <c r="I9" s="31" t="s">
        <v>50</v>
      </c>
      <c r="J9" s="32" t="s">
        <v>57</v>
      </c>
      <c r="K9" s="30" t="s">
        <v>24</v>
      </c>
      <c r="L9" s="30"/>
      <c r="M9" s="30" t="s">
        <v>24</v>
      </c>
      <c r="N9" s="30" t="s">
        <v>24</v>
      </c>
      <c r="O9" s="30" t="s">
        <v>21</v>
      </c>
      <c r="P9" s="30" t="s">
        <v>21</v>
      </c>
      <c r="Q9" s="30" t="s">
        <v>21</v>
      </c>
      <c r="R9" s="30"/>
      <c r="S9" s="30" t="s">
        <v>21</v>
      </c>
      <c r="T9" s="30"/>
      <c r="U9" s="30"/>
      <c r="V9" s="30"/>
      <c r="W9" s="30"/>
      <c r="X9" s="33" t="str">
        <f t="shared" si="4"/>
        <v>#REF!</v>
      </c>
      <c r="Y9" s="30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7</v>
      </c>
      <c r="C10" s="26" t="s">
        <v>46</v>
      </c>
      <c r="D10" s="27" t="s">
        <v>60</v>
      </c>
      <c r="E10" s="28" t="s">
        <v>61</v>
      </c>
      <c r="F10" s="28" t="s">
        <v>56</v>
      </c>
      <c r="G10" s="29" t="s">
        <v>62</v>
      </c>
      <c r="H10" s="30" t="s">
        <v>21</v>
      </c>
      <c r="I10" s="31" t="s">
        <v>50</v>
      </c>
      <c r="J10" s="32" t="s">
        <v>63</v>
      </c>
      <c r="K10" s="30" t="s">
        <v>21</v>
      </c>
      <c r="L10" s="30"/>
      <c r="M10" s="30" t="s">
        <v>21</v>
      </c>
      <c r="N10" s="30" t="s">
        <v>21</v>
      </c>
      <c r="O10" s="30" t="s">
        <v>21</v>
      </c>
      <c r="P10" s="30" t="s">
        <v>21</v>
      </c>
      <c r="Q10" s="30" t="s">
        <v>21</v>
      </c>
      <c r="R10" s="30"/>
      <c r="S10" s="30" t="s">
        <v>21</v>
      </c>
      <c r="T10" s="30"/>
      <c r="U10" s="30"/>
      <c r="V10" s="30"/>
      <c r="W10" s="30"/>
      <c r="X10" s="33" t="str">
        <f t="shared" ref="X10:X16" si="5">SUM( (COUNTIF(K10,"A") + (COUNTIF(K10,"T")/2) + (COUNTIF(K10,"O")/2) )+ (COUNTIF(L10,"A") + (COUNTIF(L10,"T")/2) + (COUNTIF(L10,"O")/2) )+ (COUNTIF(M10,"A") + (COUNTIF(M10,"T")/2) + (COUNTIF(M10,"O")/2) )+ (COUNTIF(N10,"A") + (COUNTIF(N10,"T")/2) + (COUNTIF(N10,"O")/2) )+ (COUNTIF(O10,"A") + (COUNTIF(O10,"T")/2) + (COUNTIF(O10,"O")/2) )+ (COUNTIF(P10,"A") + (COUNTIF(P10,"T")/2) + (COUNTIF(P10,"O")/2) )+ (COUNTIF(Q10,"A") + (COUNTIF(Q10,"T")/2) + (COUNTIF(Q10,"O")/2) )+ (COUNTIF(R10,"A") + (COUNTIF(R10,"T")/2) + (COUNTIF(R10,"O")/2) )+ (COUNTIF(S10,"A") + (COUNTIF(S10,"T")/2) + (COUNTIF(S10,"O")/2) )+ (COUNTIF(#REF!,"A") + (COUNTIF(#REF!,"T")/2) + (COUNTIF(#REF!,"O")/2) )+ (COUNTIF(T10,"A") + (COUNTIF(T10,"T")/2) + (COUNTIF(T10,"O")/2) )+ (COUNTIF(U10,"A") + (COUNTIF(U10,"T")/2) + (COUNTIF(U10,"O")/2) )+ (COUNTIF(V10,"A") + (COUNTIF(V10,"T")/2) + (COUNTIF(V10,"O")/2) ) )/$X$1</f>
        <v>#REF!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61</v>
      </c>
      <c r="F11" s="28" t="s">
        <v>19</v>
      </c>
      <c r="G11" s="29" t="s">
        <v>20</v>
      </c>
      <c r="H11" s="30" t="s">
        <v>21</v>
      </c>
      <c r="I11" s="31" t="s">
        <v>50</v>
      </c>
      <c r="J11" s="32" t="s">
        <v>68</v>
      </c>
      <c r="K11" s="30" t="s">
        <v>24</v>
      </c>
      <c r="L11" s="30"/>
      <c r="M11" s="30" t="s">
        <v>24</v>
      </c>
      <c r="N11" s="30" t="s">
        <v>24</v>
      </c>
      <c r="O11" s="30" t="s">
        <v>24</v>
      </c>
      <c r="P11" s="30" t="s">
        <v>24</v>
      </c>
      <c r="Q11" s="30" t="s">
        <v>24</v>
      </c>
      <c r="R11" s="30"/>
      <c r="S11" s="30" t="s">
        <v>21</v>
      </c>
      <c r="T11" s="30"/>
      <c r="U11" s="30"/>
      <c r="V11" s="30"/>
      <c r="W11" s="30"/>
      <c r="X11" s="33" t="str">
        <f t="shared" si="5"/>
        <v>#REF!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64</v>
      </c>
      <c r="D12" s="27" t="s">
        <v>69</v>
      </c>
      <c r="E12" s="28" t="s">
        <v>19</v>
      </c>
      <c r="F12" s="28" t="s">
        <v>70</v>
      </c>
      <c r="G12" s="29" t="s">
        <v>71</v>
      </c>
      <c r="H12" s="30" t="s">
        <v>21</v>
      </c>
      <c r="I12" s="31" t="s">
        <v>50</v>
      </c>
      <c r="J12" s="32" t="s">
        <v>68</v>
      </c>
      <c r="K12" s="30" t="s">
        <v>21</v>
      </c>
      <c r="L12" s="42"/>
      <c r="M12" s="30" t="s">
        <v>24</v>
      </c>
      <c r="N12" s="30" t="s">
        <v>21</v>
      </c>
      <c r="O12" s="30" t="s">
        <v>21</v>
      </c>
      <c r="P12" s="30" t="s">
        <v>21</v>
      </c>
      <c r="Q12" s="30" t="s">
        <v>21</v>
      </c>
      <c r="R12" s="30"/>
      <c r="S12" s="30" t="s">
        <v>24</v>
      </c>
      <c r="T12" s="30"/>
      <c r="U12" s="30"/>
      <c r="V12" s="30"/>
      <c r="W12" s="30"/>
      <c r="X12" s="33" t="str">
        <f t="shared" si="5"/>
        <v>#REF!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9</v>
      </c>
      <c r="C13" s="26" t="s">
        <v>64</v>
      </c>
      <c r="D13" s="27" t="s">
        <v>75</v>
      </c>
      <c r="E13" s="28" t="s">
        <v>70</v>
      </c>
      <c r="F13" s="28" t="s">
        <v>76</v>
      </c>
      <c r="G13" s="29" t="s">
        <v>71</v>
      </c>
      <c r="H13" s="30" t="s">
        <v>21</v>
      </c>
      <c r="I13" s="31" t="s">
        <v>50</v>
      </c>
      <c r="J13" s="32" t="s">
        <v>68</v>
      </c>
      <c r="K13" s="30" t="s">
        <v>24</v>
      </c>
      <c r="L13" s="30"/>
      <c r="M13" s="30" t="s">
        <v>21</v>
      </c>
      <c r="N13" s="30" t="s">
        <v>21</v>
      </c>
      <c r="O13" s="30" t="s">
        <v>21</v>
      </c>
      <c r="P13" s="30" t="s">
        <v>21</v>
      </c>
      <c r="Q13" s="30" t="s">
        <v>21</v>
      </c>
      <c r="R13" s="30"/>
      <c r="S13" s="30" t="s">
        <v>21</v>
      </c>
      <c r="T13" s="30"/>
      <c r="U13" s="30"/>
      <c r="V13" s="30"/>
      <c r="W13" s="30"/>
      <c r="X13" s="33" t="str">
        <f t="shared" si="5"/>
        <v>#REF!</v>
      </c>
      <c r="Y13" s="45" t="s">
        <v>77</v>
      </c>
      <c r="Z13" s="46">
        <f>COUNTIF(I3:I100,"1° P - 1°M")</f>
        <v>18</v>
      </c>
      <c r="AA13" s="44"/>
      <c r="AB13" s="45" t="s">
        <v>78</v>
      </c>
      <c r="AC13" s="46">
        <f>COUNTIF(C3:C100,"Rct.")</f>
        <v>11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80</v>
      </c>
      <c r="E14" s="28" t="s">
        <v>56</v>
      </c>
      <c r="F14" s="28" t="s">
        <v>19</v>
      </c>
      <c r="G14" s="29" t="s">
        <v>71</v>
      </c>
      <c r="H14" s="30" t="s">
        <v>21</v>
      </c>
      <c r="I14" s="31" t="s">
        <v>50</v>
      </c>
      <c r="J14" s="32" t="s">
        <v>68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33" t="str">
        <f t="shared" si="5"/>
        <v>#REF!</v>
      </c>
      <c r="Y14" s="45" t="s">
        <v>81</v>
      </c>
      <c r="Z14" s="46">
        <f>COUNTIF(I3:I100,"1° P - 2°M")</f>
        <v>14</v>
      </c>
      <c r="AA14" s="44"/>
      <c r="AB14" s="45" t="s">
        <v>82</v>
      </c>
      <c r="AC14" s="46">
        <f>COUNTIF(C3:C100,"Inf.")</f>
        <v>18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64</v>
      </c>
      <c r="D15" s="27" t="s">
        <v>83</v>
      </c>
      <c r="E15" s="28" t="s">
        <v>76</v>
      </c>
      <c r="F15" s="28" t="s">
        <v>70</v>
      </c>
      <c r="G15" s="29" t="s">
        <v>49</v>
      </c>
      <c r="H15" s="30" t="s">
        <v>21</v>
      </c>
      <c r="I15" s="31" t="s">
        <v>50</v>
      </c>
      <c r="J15" s="32" t="s">
        <v>85</v>
      </c>
      <c r="K15" s="30" t="s">
        <v>24</v>
      </c>
      <c r="L15" s="30"/>
      <c r="M15" s="30" t="s">
        <v>24</v>
      </c>
      <c r="N15" s="30" t="s">
        <v>24</v>
      </c>
      <c r="O15" s="30" t="s">
        <v>24</v>
      </c>
      <c r="P15" s="30" t="s">
        <v>24</v>
      </c>
      <c r="Q15" s="30" t="s">
        <v>24</v>
      </c>
      <c r="R15" s="30"/>
      <c r="S15" s="30" t="s">
        <v>21</v>
      </c>
      <c r="T15" s="30"/>
      <c r="U15" s="30"/>
      <c r="V15" s="30"/>
      <c r="W15" s="30"/>
      <c r="X15" s="33" t="str">
        <f t="shared" si="5"/>
        <v>#REF!</v>
      </c>
      <c r="Y15" s="45" t="s">
        <v>86</v>
      </c>
      <c r="Z15" s="46">
        <f>COUNTIF(I3:I100,"1° PP - 1°Pa")</f>
        <v>11</v>
      </c>
      <c r="AA15" s="44"/>
      <c r="AB15" s="45" t="s">
        <v>87</v>
      </c>
      <c r="AC15" s="46">
        <f>COUNTIF(C3:C100,"Dis.")</f>
        <v>15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88</v>
      </c>
      <c r="E16" s="28" t="s">
        <v>41</v>
      </c>
      <c r="F16" s="28" t="s">
        <v>19</v>
      </c>
      <c r="G16" s="29" t="s">
        <v>62</v>
      </c>
      <c r="H16" s="30" t="s">
        <v>21</v>
      </c>
      <c r="I16" s="31" t="s">
        <v>50</v>
      </c>
      <c r="J16" s="32" t="s">
        <v>85</v>
      </c>
      <c r="K16" s="30" t="s">
        <v>21</v>
      </c>
      <c r="L16" s="30"/>
      <c r="M16" s="30" t="s">
        <v>21</v>
      </c>
      <c r="N16" s="30" t="s">
        <v>21</v>
      </c>
      <c r="O16" s="30" t="s">
        <v>21</v>
      </c>
      <c r="P16" s="30" t="s">
        <v>24</v>
      </c>
      <c r="Q16" s="30" t="s">
        <v>21</v>
      </c>
      <c r="R16" s="30"/>
      <c r="S16" s="30" t="s">
        <v>24</v>
      </c>
      <c r="T16" s="30"/>
      <c r="U16" s="30"/>
      <c r="V16" s="30"/>
      <c r="W16" s="30"/>
      <c r="X16" s="33" t="str">
        <f t="shared" si="5"/>
        <v>#REF!</v>
      </c>
      <c r="Y16" s="45" t="s">
        <v>89</v>
      </c>
      <c r="Z16" s="46">
        <f>COUNTIF(I3:I100,"Espectro")</f>
        <v>3</v>
      </c>
      <c r="AA16" s="44"/>
      <c r="AB16" s="45" t="s">
        <v>90</v>
      </c>
      <c r="AC16" s="46">
        <f>COUNTIF(C3:C100,"Cbo.")</f>
        <v>10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91</v>
      </c>
      <c r="E17" s="28" t="s">
        <v>56</v>
      </c>
      <c r="F17" s="28" t="s">
        <v>19</v>
      </c>
      <c r="G17" s="29" t="s">
        <v>49</v>
      </c>
      <c r="H17" s="30" t="s">
        <v>21</v>
      </c>
      <c r="I17" s="31" t="s">
        <v>50</v>
      </c>
      <c r="J17" s="32" t="s">
        <v>85</v>
      </c>
      <c r="K17" s="30" t="s">
        <v>21</v>
      </c>
      <c r="L17" s="30"/>
      <c r="M17" s="30" t="s">
        <v>21</v>
      </c>
      <c r="N17" s="30" t="s">
        <v>21</v>
      </c>
      <c r="O17" s="30" t="s">
        <v>21</v>
      </c>
      <c r="P17" s="30" t="s">
        <v>21</v>
      </c>
      <c r="Q17" s="30" t="s">
        <v>21</v>
      </c>
      <c r="R17" s="30"/>
      <c r="S17" s="30" t="s">
        <v>21</v>
      </c>
      <c r="T17" s="30"/>
      <c r="U17" s="30"/>
      <c r="V17" s="30"/>
      <c r="W17" s="30"/>
      <c r="X17" s="33" t="str">
        <f>SUM( (COUNTIF(K17,"A") + (COUNTIF(K17,"T")/2) + (COUNTIF(K17,"O")/2) )+ (COUNTIF(M17,"A") + (COUNTIF(M17,"T")/2) + (COUNTIF(M17,"O")/2) )+ (COUNTIF(#REF!,"A") + (COUNTIF(#REF!,"T")/2) + (COUNTIF(#REF!,"O")/2) )+ (COUNTIF(N17,"A") + (COUNTIF(N17,"T")/2) + (COUNTIF(N17,"O")/2) )+ (COUNTIF(O17,"A") + (COUNTIF(O17,"T")/2) + (COUNTIF(O17,"O")/2) )+ (COUNTIF(P17,"A") + (COUNTIF(P17,"T")/2) + (COUNTIF(P17,"O")/2) )+ (COUNTIF(Q17,"A") + (COUNTIF(Q17,"T")/2) + (COUNTIF(Q17,"O")/2) )+ (COUNTIF(R17,"A") + (COUNTIF(R17,"T")/2) + (COUNTIF(R17,"O")/2) )+ (COUNTIF(S17,"A") + (COUNTIF(S17,"T")/2) + (COUNTIF(S17,"O")/2) )+ (COUNTIF(#REF!,"A") + (COUNTIF(#REF!,"T")/2) + (COUNTIF(#REF!,"O")/2) )+ (COUNTIF(T17,"A") + (COUNTIF(T17,"T")/2) + (COUNTIF(T17,"O")/2) )+ (COUNTIF(U17,"A") + (COUNTIF(U17,"T")/2) + (COUNTIF(U17,"O")/2) )+ (COUNTIF(V17,"A") + (COUNTIF(V17,"T")/2) + (COUNTIF(V17,"O")/2) ) )/$X$1</f>
        <v>#REF!</v>
      </c>
      <c r="Y17" s="45" t="s">
        <v>92</v>
      </c>
      <c r="Z17" s="46">
        <f>COUNTIF(I3:I100,"Caballeria")</f>
        <v>11</v>
      </c>
      <c r="AA17" s="44"/>
      <c r="AB17" s="45" t="s">
        <v>93</v>
      </c>
      <c r="AC17" s="46">
        <f>COUNTIF(C3:C100,"Cbo1.")</f>
        <v>8</v>
      </c>
    </row>
    <row r="18" ht="15.75" customHeight="1">
      <c r="A18" s="25">
        <f t="shared" si="1"/>
        <v>3</v>
      </c>
      <c r="B18" s="25">
        <f t="shared" si="2"/>
        <v>10</v>
      </c>
      <c r="C18" s="26" t="s">
        <v>84</v>
      </c>
      <c r="D18" s="27" t="s">
        <v>94</v>
      </c>
      <c r="E18" s="28" t="s">
        <v>19</v>
      </c>
      <c r="F18" s="28" t="s">
        <v>41</v>
      </c>
      <c r="G18" s="29" t="s">
        <v>49</v>
      </c>
      <c r="H18" s="42" t="s">
        <v>21</v>
      </c>
      <c r="I18" s="31" t="s">
        <v>50</v>
      </c>
      <c r="J18" s="32" t="s">
        <v>85</v>
      </c>
      <c r="K18" s="42" t="s">
        <v>21</v>
      </c>
      <c r="L18" s="42"/>
      <c r="M18" s="42" t="s">
        <v>21</v>
      </c>
      <c r="N18" s="42" t="s">
        <v>21</v>
      </c>
      <c r="O18" s="42" t="s">
        <v>21</v>
      </c>
      <c r="P18" s="42" t="s">
        <v>21</v>
      </c>
      <c r="Q18" s="42" t="s">
        <v>21</v>
      </c>
      <c r="R18" s="42"/>
      <c r="S18" s="42" t="s">
        <v>21</v>
      </c>
      <c r="T18" s="42"/>
      <c r="U18" s="42"/>
      <c r="V18" s="42"/>
      <c r="W18" s="42"/>
      <c r="X18" s="33" t="str">
        <f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)/$X$1</f>
        <v>#REF!</v>
      </c>
      <c r="Y18" s="45" t="s">
        <v>95</v>
      </c>
      <c r="Z18" s="46">
        <f>COUNTIF(I3:I100,"FAZR")</f>
        <v>4</v>
      </c>
      <c r="AA18" s="44"/>
      <c r="AB18" s="45" t="s">
        <v>96</v>
      </c>
      <c r="AC18" s="46">
        <f>COUNTIF(C3:C100,"Sgt.")</f>
        <v>6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79</v>
      </c>
      <c r="D19" s="27" t="s">
        <v>97</v>
      </c>
      <c r="E19" s="28" t="s">
        <v>19</v>
      </c>
      <c r="F19" s="28"/>
      <c r="G19" s="29" t="s">
        <v>71</v>
      </c>
      <c r="H19" s="30" t="s">
        <v>21</v>
      </c>
      <c r="I19" s="31" t="s">
        <v>50</v>
      </c>
      <c r="J19" s="32" t="s">
        <v>85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3" t="str">
        <f>SUM( (COUNTIF(K19,"A") + (COUNTIF(K19,"T")/2) + (COUNTIF(K19,"O")/2) )+ (COUNTIF(M19,"A") + (COUNTIF(M19,"T")/2) + (COUNTIF(M19,"O")/2) )+ (COUNTIF(#REF!,"A") + (COUNTIF(#REF!,"T")/2) + (COUNTIF(#REF!,"O")/2) )+ (COUNTIF(N19,"A") + (COUNTIF(N19,"T")/2) + (COUNTIF(N19,"O")/2) )+ (COUNTIF(O19,"A") + (COUNTIF(O19,"T")/2) + (COUNTIF(O19,"O")/2) )+ (COUNTIF(P19,"A") + (COUNTIF(P19,"T")/2) + (COUNTIF(P19,"O")/2) )+ (COUNTIF(Q19,"A") + (COUNTIF(Q19,"T")/2) + (COUNTIF(Q19,"O")/2) )+ (COUNTIF(R19,"A") + (COUNTIF(R19,"T")/2) + (COUNTIF(R19,"O")/2) )+ (COUNTIF(S19,"A") + (COUNTIF(S19,"T")/2) + (COUNTIF(S19,"O")/2) )+ (COUNTIF(#REF!,"A") + (COUNTIF(#REF!,"T")/2) + (COUNTIF(#REF!,"O")/2) )+ (COUNTIF(T19,"A") + (COUNTIF(T19,"T")/2) + (COUNTIF(T19,"O")/2) )+ (COUNTIF(U19,"A") + (COUNTIF(U19,"T")/2) + (COUNTIF(U19,"O")/2) )+ (COUNTIF(V19,"A") + (COUNTIF(V19,"T")/2) + (COUNTIF(V19,"O")/2) ) )/$X$1</f>
        <v>#REF!</v>
      </c>
      <c r="Y19" s="45" t="s">
        <v>98</v>
      </c>
      <c r="Z19" s="46">
        <v>6.0</v>
      </c>
      <c r="AA19" s="44"/>
      <c r="AB19" s="45" t="s">
        <v>99</v>
      </c>
      <c r="AC19" s="46">
        <f>COUNTIF(C3:C100,"Sgt1.")</f>
        <v>1</v>
      </c>
    </row>
    <row r="20" ht="15.75" customHeight="1">
      <c r="A20" s="25">
        <f t="shared" si="1"/>
        <v>3</v>
      </c>
      <c r="B20" s="25">
        <f t="shared" si="2"/>
        <v>7</v>
      </c>
      <c r="C20" s="26" t="s">
        <v>46</v>
      </c>
      <c r="D20" s="27" t="s">
        <v>100</v>
      </c>
      <c r="E20" s="28" t="s">
        <v>41</v>
      </c>
      <c r="F20" s="28" t="s">
        <v>28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0" t="s">
        <v>30</v>
      </c>
      <c r="X20" s="33" t="str">
        <f t="shared" ref="X20:X68" si="6">SUM( (COUNTIF(K20,"A") + (COUNTIF(K20,"T")/2) + (COUNTIF(K20,"O")/2) )+ (COUNTIF(L20,"A") + (COUNTIF(L20,"T")/2) + (COUNTIF(L20,"O")/2) )+ (COUNTIF(M20,"A") + (COUNTIF(M20,"T")/2) + (COUNTIF(M20,"O")/2) )+ (COUNTIF(N20,"A") + (COUNTIF(N20,"T")/2) + (COUNTIF(N20,"O")/2) )+ (COUNTIF(O20,"A") + (COUNTIF(O20,"T")/2) + (COUNTIF(O20,"O")/2) )+ (COUNTIF(P20,"A") + (COUNTIF(P20,"T")/2) + (COUNTIF(P20,"O")/2) )+ (COUNTIF(Q20,"A") + (COUNTIF(Q20,"T")/2) + (COUNTIF(Q20,"O")/2) )+ (COUNTIF(R20,"A") + (COUNTIF(R20,"T")/2) + (COUNTIF(R20,"O")/2) )+ (COUNTIF(S20,"A") + (COUNTIF(S20,"T")/2) + (COUNTIF(S20,"O")/2) )+ (COUNTIF(#REF!,"A") + (COUNTIF(#REF!,"T")/2) + (COUNTIF(#REF!,"O")/2) )+ (COUNTIF(T20,"A") + (COUNTIF(T20,"T")/2) + (COUNTIF(T20,"O")/2) )+ (COUNTIF(U20,"A") + (COUNTIF(U20,"T")/2) + (COUNTIF(U20,"O")/2) )+ (COUNTIF(V20,"A") + (COUNTIF(V20,"T")/2) + (COUNTIF(V20,"O")/2) ) )/$X$1</f>
        <v>#REF!</v>
      </c>
      <c r="Y20" s="45" t="s">
        <v>101</v>
      </c>
      <c r="Z20" s="46">
        <f>COUNTIF(H3:H100,"R")</f>
        <v>26</v>
      </c>
      <c r="AA20" s="44"/>
      <c r="AB20" s="45" t="s">
        <v>102</v>
      </c>
      <c r="AC20" s="46">
        <f>COUNTIF(C3:C100,"SgtM.")</f>
        <v>1</v>
      </c>
    </row>
    <row r="21" ht="15.75" customHeight="1">
      <c r="A21" s="25">
        <f t="shared" si="1"/>
        <v>3</v>
      </c>
      <c r="B21" s="25">
        <f t="shared" si="2"/>
        <v>8</v>
      </c>
      <c r="C21" s="26" t="s">
        <v>54</v>
      </c>
      <c r="D21" s="27" t="s">
        <v>103</v>
      </c>
      <c r="E21" s="28" t="s">
        <v>70</v>
      </c>
      <c r="F21" s="28" t="s">
        <v>19</v>
      </c>
      <c r="G21" s="29" t="s">
        <v>20</v>
      </c>
      <c r="H21" s="30" t="s">
        <v>30</v>
      </c>
      <c r="I21" s="31" t="s">
        <v>50</v>
      </c>
      <c r="J21" s="32"/>
      <c r="K21" s="30" t="s">
        <v>30</v>
      </c>
      <c r="L21" s="30" t="s">
        <v>30</v>
      </c>
      <c r="M21" s="30" t="s">
        <v>30</v>
      </c>
      <c r="N21" s="30" t="s">
        <v>30</v>
      </c>
      <c r="O21" s="30" t="s">
        <v>30</v>
      </c>
      <c r="P21" s="30" t="s">
        <v>30</v>
      </c>
      <c r="Q21" s="30" t="s">
        <v>30</v>
      </c>
      <c r="R21" s="30" t="s">
        <v>30</v>
      </c>
      <c r="S21" s="30" t="s">
        <v>30</v>
      </c>
      <c r="T21" s="30" t="s">
        <v>30</v>
      </c>
      <c r="U21" s="30" t="s">
        <v>30</v>
      </c>
      <c r="V21" s="30" t="s">
        <v>30</v>
      </c>
      <c r="W21" s="30" t="s">
        <v>30</v>
      </c>
      <c r="X21" s="33" t="str">
        <f t="shared" si="6"/>
        <v>#REF!</v>
      </c>
      <c r="Y21" s="45" t="s">
        <v>38</v>
      </c>
      <c r="Z21" s="46">
        <f>COUNTIF(H3:H100,"L")</f>
        <v>0</v>
      </c>
      <c r="AA21" s="44"/>
      <c r="AB21" s="45" t="s">
        <v>104</v>
      </c>
      <c r="AC21" s="46">
        <f>COUNTIF(C3:C100,"Tte.")</f>
        <v>0</v>
      </c>
    </row>
    <row r="22" ht="15.75" customHeight="1">
      <c r="A22" s="25">
        <f t="shared" si="1"/>
        <v>3</v>
      </c>
      <c r="B22" s="25">
        <f t="shared" si="2"/>
        <v>8</v>
      </c>
      <c r="C22" s="26" t="s">
        <v>54</v>
      </c>
      <c r="D22" s="27" t="s">
        <v>105</v>
      </c>
      <c r="E22" s="28" t="s">
        <v>41</v>
      </c>
      <c r="F22" s="28" t="s">
        <v>56</v>
      </c>
      <c r="G22" s="29" t="s">
        <v>49</v>
      </c>
      <c r="H22" s="30" t="s">
        <v>30</v>
      </c>
      <c r="I22" s="31" t="s">
        <v>50</v>
      </c>
      <c r="J22" s="32"/>
      <c r="K22" s="30" t="s">
        <v>30</v>
      </c>
      <c r="L22" s="30" t="s">
        <v>30</v>
      </c>
      <c r="M22" s="30" t="s">
        <v>30</v>
      </c>
      <c r="N22" s="30" t="s">
        <v>30</v>
      </c>
      <c r="O22" s="30" t="s">
        <v>30</v>
      </c>
      <c r="P22" s="30" t="s">
        <v>30</v>
      </c>
      <c r="Q22" s="30" t="s">
        <v>30</v>
      </c>
      <c r="R22" s="30" t="s">
        <v>30</v>
      </c>
      <c r="S22" s="30" t="s">
        <v>30</v>
      </c>
      <c r="T22" s="30" t="s">
        <v>30</v>
      </c>
      <c r="U22" s="30" t="s">
        <v>30</v>
      </c>
      <c r="V22" s="30" t="s">
        <v>30</v>
      </c>
      <c r="W22" s="30" t="s">
        <v>30</v>
      </c>
      <c r="X22" s="33" t="str">
        <f t="shared" si="6"/>
        <v>#REF!</v>
      </c>
      <c r="Y22" s="45"/>
      <c r="Z22" s="46"/>
      <c r="AA22" s="44"/>
      <c r="AB22" s="45" t="s">
        <v>106</v>
      </c>
      <c r="AC22" s="46">
        <f>COUNTIF(C3:C100,"Alf.")</f>
        <v>1</v>
      </c>
    </row>
    <row r="23" ht="15.75" customHeight="1">
      <c r="A23" s="25">
        <f t="shared" si="1"/>
        <v>3</v>
      </c>
      <c r="B23" s="25">
        <f t="shared" si="2"/>
        <v>9</v>
      </c>
      <c r="C23" s="26" t="s">
        <v>64</v>
      </c>
      <c r="D23" s="27" t="s">
        <v>107</v>
      </c>
      <c r="E23" s="28" t="s">
        <v>70</v>
      </c>
      <c r="F23" s="28" t="s">
        <v>48</v>
      </c>
      <c r="G23" s="29" t="s">
        <v>20</v>
      </c>
      <c r="H23" s="30" t="s">
        <v>30</v>
      </c>
      <c r="I23" s="31" t="s">
        <v>50</v>
      </c>
      <c r="J23" s="32"/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30</v>
      </c>
      <c r="P23" s="30" t="s">
        <v>30</v>
      </c>
      <c r="Q23" s="30" t="s">
        <v>30</v>
      </c>
      <c r="R23" s="30" t="s">
        <v>30</v>
      </c>
      <c r="S23" s="30" t="s">
        <v>30</v>
      </c>
      <c r="T23" s="30" t="s">
        <v>30</v>
      </c>
      <c r="U23" s="30" t="s">
        <v>30</v>
      </c>
      <c r="V23" s="30" t="s">
        <v>30</v>
      </c>
      <c r="W23" s="30" t="s">
        <v>30</v>
      </c>
      <c r="X23" s="33" t="str">
        <f t="shared" si="6"/>
        <v>#REF!</v>
      </c>
      <c r="Y23" s="45"/>
      <c r="Z23" s="46"/>
      <c r="AA23" s="44"/>
      <c r="AB23" s="45" t="s">
        <v>108</v>
      </c>
      <c r="AC23" s="46">
        <f>COUNTIF(C3:C100,"Cap.")</f>
        <v>1</v>
      </c>
    </row>
    <row r="24" ht="15.75" customHeight="1">
      <c r="A24" s="25">
        <f t="shared" si="1"/>
        <v>3</v>
      </c>
      <c r="B24" s="25">
        <f t="shared" si="2"/>
        <v>11</v>
      </c>
      <c r="C24" s="26" t="s">
        <v>79</v>
      </c>
      <c r="D24" s="27" t="s">
        <v>109</v>
      </c>
      <c r="E24" s="28" t="s">
        <v>19</v>
      </c>
      <c r="F24" s="28"/>
      <c r="G24" s="29" t="s">
        <v>20</v>
      </c>
      <c r="H24" s="30" t="s">
        <v>30</v>
      </c>
      <c r="I24" s="31" t="s">
        <v>50</v>
      </c>
      <c r="J24" s="32"/>
      <c r="K24" s="42" t="s">
        <v>30</v>
      </c>
      <c r="L24" s="30" t="s">
        <v>30</v>
      </c>
      <c r="M24" s="42" t="s">
        <v>30</v>
      </c>
      <c r="N24" s="30" t="s">
        <v>30</v>
      </c>
      <c r="O24" s="42" t="s">
        <v>30</v>
      </c>
      <c r="P24" s="30" t="s">
        <v>30</v>
      </c>
      <c r="Q24" s="42" t="s">
        <v>30</v>
      </c>
      <c r="R24" s="30" t="s">
        <v>30</v>
      </c>
      <c r="S24" s="42" t="s">
        <v>30</v>
      </c>
      <c r="T24" s="30" t="s">
        <v>30</v>
      </c>
      <c r="U24" s="42" t="s">
        <v>30</v>
      </c>
      <c r="V24" s="42" t="s">
        <v>30</v>
      </c>
      <c r="W24" s="30" t="s">
        <v>30</v>
      </c>
      <c r="X24" s="33" t="str">
        <f t="shared" si="6"/>
        <v>#REF!</v>
      </c>
      <c r="Y24" s="47"/>
      <c r="Z24" s="47"/>
      <c r="AA24" s="48"/>
      <c r="AB24" s="45" t="s">
        <v>110</v>
      </c>
      <c r="AC24" s="46">
        <f>COUNTIF(C3:C101,"May.")</f>
        <v>2</v>
      </c>
    </row>
    <row r="25" ht="15.75" customHeight="1">
      <c r="A25" s="25">
        <f t="shared" si="1"/>
        <v>3</v>
      </c>
      <c r="B25" s="25">
        <f t="shared" si="2"/>
        <v>11</v>
      </c>
      <c r="C25" s="26" t="s">
        <v>79</v>
      </c>
      <c r="D25" s="27" t="s">
        <v>111</v>
      </c>
      <c r="E25" s="28" t="s">
        <v>19</v>
      </c>
      <c r="F25" s="28"/>
      <c r="G25" s="29" t="s">
        <v>112</v>
      </c>
      <c r="H25" s="30" t="s">
        <v>30</v>
      </c>
      <c r="I25" s="31" t="s">
        <v>50</v>
      </c>
      <c r="J25" s="32"/>
      <c r="K25" s="30" t="s">
        <v>30</v>
      </c>
      <c r="L25" s="30" t="s">
        <v>30</v>
      </c>
      <c r="M25" s="30" t="s">
        <v>30</v>
      </c>
      <c r="N25" s="30" t="s">
        <v>30</v>
      </c>
      <c r="O25" s="30" t="s">
        <v>30</v>
      </c>
      <c r="P25" s="30" t="s">
        <v>30</v>
      </c>
      <c r="Q25" s="30" t="s">
        <v>30</v>
      </c>
      <c r="R25" s="30" t="s">
        <v>30</v>
      </c>
      <c r="S25" s="30" t="s">
        <v>30</v>
      </c>
      <c r="T25" s="30" t="s">
        <v>30</v>
      </c>
      <c r="U25" s="30" t="s">
        <v>30</v>
      </c>
      <c r="V25" s="30" t="s">
        <v>30</v>
      </c>
      <c r="W25" s="30" t="s">
        <v>30</v>
      </c>
      <c r="X25" s="33" t="str">
        <f t="shared" si="6"/>
        <v>#REF!</v>
      </c>
    </row>
    <row r="26" ht="15.75" customHeight="1">
      <c r="A26" s="25">
        <f t="shared" si="1"/>
        <v>4</v>
      </c>
      <c r="B26" s="25">
        <f t="shared" si="2"/>
        <v>6</v>
      </c>
      <c r="C26" s="26" t="s">
        <v>113</v>
      </c>
      <c r="D26" s="27" t="s">
        <v>114</v>
      </c>
      <c r="E26" s="28" t="s">
        <v>48</v>
      </c>
      <c r="F26" s="28" t="s">
        <v>76</v>
      </c>
      <c r="G26" s="29" t="s">
        <v>20</v>
      </c>
      <c r="H26" s="30" t="s">
        <v>21</v>
      </c>
      <c r="I26" s="31" t="s">
        <v>115</v>
      </c>
      <c r="J26" s="32" t="s">
        <v>51</v>
      </c>
      <c r="K26" s="30" t="s">
        <v>21</v>
      </c>
      <c r="L26" s="30"/>
      <c r="M26" s="30" t="s">
        <v>24</v>
      </c>
      <c r="N26" s="30" t="s">
        <v>21</v>
      </c>
      <c r="O26" s="30"/>
      <c r="P26" s="30" t="s">
        <v>21</v>
      </c>
      <c r="Q26" s="30" t="s">
        <v>21</v>
      </c>
      <c r="R26" s="30"/>
      <c r="S26" s="30" t="s">
        <v>21</v>
      </c>
      <c r="T26" s="30" t="s">
        <v>21</v>
      </c>
      <c r="U26" s="30"/>
      <c r="V26" s="30" t="s">
        <v>21</v>
      </c>
      <c r="W26" s="30" t="s">
        <v>21</v>
      </c>
      <c r="X26" s="33" t="str">
        <f t="shared" si="6"/>
        <v>#REF!</v>
      </c>
      <c r="Y26" s="43" t="s">
        <v>116</v>
      </c>
      <c r="Z26" s="43" t="s">
        <v>73</v>
      </c>
      <c r="AA26" s="48"/>
      <c r="AB26" s="43" t="s">
        <v>117</v>
      </c>
      <c r="AC26" s="43" t="s">
        <v>73</v>
      </c>
    </row>
    <row r="27" ht="15.75" customHeight="1">
      <c r="A27" s="25">
        <f t="shared" si="1"/>
        <v>4</v>
      </c>
      <c r="B27" s="25">
        <f t="shared" si="2"/>
        <v>8</v>
      </c>
      <c r="C27" s="26" t="s">
        <v>54</v>
      </c>
      <c r="D27" s="27" t="s">
        <v>118</v>
      </c>
      <c r="E27" s="28" t="s">
        <v>76</v>
      </c>
      <c r="F27" s="28" t="s">
        <v>28</v>
      </c>
      <c r="G27" s="29" t="s">
        <v>62</v>
      </c>
      <c r="H27" s="30" t="s">
        <v>30</v>
      </c>
      <c r="I27" s="31" t="s">
        <v>115</v>
      </c>
      <c r="J27" s="32" t="s">
        <v>57</v>
      </c>
      <c r="K27" s="30" t="s">
        <v>30</v>
      </c>
      <c r="L27" s="30" t="s">
        <v>30</v>
      </c>
      <c r="M27" s="30" t="s">
        <v>30</v>
      </c>
      <c r="N27" s="30" t="s">
        <v>30</v>
      </c>
      <c r="O27" s="30" t="s">
        <v>30</v>
      </c>
      <c r="P27" s="30" t="s">
        <v>30</v>
      </c>
      <c r="Q27" s="30" t="s">
        <v>30</v>
      </c>
      <c r="R27" s="30" t="s">
        <v>30</v>
      </c>
      <c r="S27" s="30" t="s">
        <v>30</v>
      </c>
      <c r="T27" s="30" t="s">
        <v>30</v>
      </c>
      <c r="U27" s="30" t="s">
        <v>30</v>
      </c>
      <c r="V27" s="30" t="s">
        <v>30</v>
      </c>
      <c r="W27" s="30" t="s">
        <v>30</v>
      </c>
      <c r="X27" s="33" t="str">
        <f t="shared" si="6"/>
        <v>#REF!</v>
      </c>
      <c r="Y27" s="45" t="s">
        <v>119</v>
      </c>
      <c r="Z27" s="46">
        <f>COUNTIF(G3:G100, "Ar")</f>
        <v>20</v>
      </c>
      <c r="AA27" s="44"/>
      <c r="AB27" s="45" t="s">
        <v>120</v>
      </c>
      <c r="AC27" s="46">
        <f>COUNTIF(E3:E100,"AT")+COUNTIF(F3:F100,"AT")</f>
        <v>16</v>
      </c>
    </row>
    <row r="28" ht="15.75" customHeight="1">
      <c r="A28" s="25">
        <f t="shared" si="1"/>
        <v>4</v>
      </c>
      <c r="B28" s="25">
        <f t="shared" si="2"/>
        <v>8</v>
      </c>
      <c r="C28" s="26" t="s">
        <v>54</v>
      </c>
      <c r="D28" s="27" t="s">
        <v>121</v>
      </c>
      <c r="E28" s="28" t="s">
        <v>41</v>
      </c>
      <c r="F28" s="28" t="s">
        <v>28</v>
      </c>
      <c r="G28" s="29" t="s">
        <v>49</v>
      </c>
      <c r="H28" s="30" t="s">
        <v>21</v>
      </c>
      <c r="I28" s="31" t="s">
        <v>115</v>
      </c>
      <c r="J28" s="32" t="s">
        <v>63</v>
      </c>
      <c r="K28" s="30" t="s">
        <v>37</v>
      </c>
      <c r="L28" s="30"/>
      <c r="M28" s="30" t="s">
        <v>37</v>
      </c>
      <c r="N28" s="30" t="s">
        <v>37</v>
      </c>
      <c r="O28" s="30"/>
      <c r="P28" s="30" t="s">
        <v>37</v>
      </c>
      <c r="Q28" s="30" t="s">
        <v>37</v>
      </c>
      <c r="R28" s="30"/>
      <c r="S28" s="30" t="s">
        <v>37</v>
      </c>
      <c r="T28" s="30" t="s">
        <v>37</v>
      </c>
      <c r="U28" s="30"/>
      <c r="V28" s="30" t="s">
        <v>37</v>
      </c>
      <c r="W28" s="30" t="s">
        <v>37</v>
      </c>
      <c r="X28" s="33" t="str">
        <f t="shared" si="6"/>
        <v>#REF!</v>
      </c>
      <c r="Y28" s="49" t="s">
        <v>122</v>
      </c>
      <c r="Z28" s="46">
        <f>COUNTIF(G3:G100, "Ch")</f>
        <v>12</v>
      </c>
      <c r="AA28" s="44"/>
      <c r="AB28" s="49" t="s">
        <v>123</v>
      </c>
      <c r="AC28" s="46">
        <f>COUNTIF(E3:E100,"FL")+COUNTIF(F3:F100,"FL")</f>
        <v>38</v>
      </c>
    </row>
    <row r="29" ht="15.75" customHeight="1">
      <c r="A29" s="25">
        <f t="shared" si="1"/>
        <v>4</v>
      </c>
      <c r="B29" s="25">
        <f t="shared" si="2"/>
        <v>9</v>
      </c>
      <c r="C29" s="26" t="s">
        <v>64</v>
      </c>
      <c r="D29" s="27" t="s">
        <v>124</v>
      </c>
      <c r="E29" s="28" t="s">
        <v>61</v>
      </c>
      <c r="F29" s="28" t="s">
        <v>70</v>
      </c>
      <c r="G29" s="29" t="s">
        <v>125</v>
      </c>
      <c r="H29" s="30" t="s">
        <v>21</v>
      </c>
      <c r="I29" s="31" t="s">
        <v>115</v>
      </c>
      <c r="J29" s="32" t="s">
        <v>68</v>
      </c>
      <c r="K29" s="30" t="s">
        <v>21</v>
      </c>
      <c r="L29" s="30"/>
      <c r="M29" s="30" t="s">
        <v>21</v>
      </c>
      <c r="N29" s="30" t="s">
        <v>21</v>
      </c>
      <c r="O29" s="30"/>
      <c r="P29" s="30" t="s">
        <v>21</v>
      </c>
      <c r="Q29" s="30" t="s">
        <v>21</v>
      </c>
      <c r="R29" s="50"/>
      <c r="S29" s="30" t="s">
        <v>21</v>
      </c>
      <c r="T29" s="50" t="s">
        <v>21</v>
      </c>
      <c r="U29" s="30"/>
      <c r="V29" s="42" t="s">
        <v>21</v>
      </c>
      <c r="W29" s="51" t="s">
        <v>21</v>
      </c>
      <c r="X29" s="33" t="str">
        <f t="shared" si="6"/>
        <v>#REF!</v>
      </c>
      <c r="Y29" s="49" t="s">
        <v>126</v>
      </c>
      <c r="Z29" s="46">
        <f>COUNTIF(G3:G100, "Co")</f>
        <v>3</v>
      </c>
      <c r="AA29" s="44"/>
      <c r="AB29" s="49" t="s">
        <v>127</v>
      </c>
      <c r="AC29" s="46">
        <f>COUNTIF(E3:E100,"GL")+COUNTIF(F3:F100,"GL")</f>
        <v>8</v>
      </c>
    </row>
    <row r="30" ht="15.75" customHeight="1">
      <c r="A30" s="25">
        <f t="shared" si="1"/>
        <v>4</v>
      </c>
      <c r="B30" s="25">
        <f t="shared" si="2"/>
        <v>10</v>
      </c>
      <c r="C30" s="26" t="s">
        <v>84</v>
      </c>
      <c r="D30" s="27" t="s">
        <v>128</v>
      </c>
      <c r="E30" s="28" t="s">
        <v>41</v>
      </c>
      <c r="F30" s="28" t="s">
        <v>19</v>
      </c>
      <c r="G30" s="29" t="s">
        <v>71</v>
      </c>
      <c r="H30" s="30" t="s">
        <v>21</v>
      </c>
      <c r="I30" s="31" t="s">
        <v>115</v>
      </c>
      <c r="J30" s="32" t="s">
        <v>68</v>
      </c>
      <c r="K30" s="30" t="s">
        <v>21</v>
      </c>
      <c r="L30" s="30"/>
      <c r="M30" s="30" t="s">
        <v>21</v>
      </c>
      <c r="N30" s="30" t="s">
        <v>21</v>
      </c>
      <c r="O30" s="30"/>
      <c r="P30" s="30" t="s">
        <v>21</v>
      </c>
      <c r="Q30" s="30" t="s">
        <v>21</v>
      </c>
      <c r="R30" s="30"/>
      <c r="S30" s="30" t="s">
        <v>21</v>
      </c>
      <c r="T30" s="30" t="s">
        <v>21</v>
      </c>
      <c r="U30" s="30"/>
      <c r="V30" s="30" t="s">
        <v>21</v>
      </c>
      <c r="W30" s="30" t="s">
        <v>21</v>
      </c>
      <c r="X30" s="33" t="str">
        <f t="shared" si="6"/>
        <v>#REF!</v>
      </c>
      <c r="Y30" s="49" t="s">
        <v>129</v>
      </c>
      <c r="Z30" s="46">
        <f>COUNTIF(G3:G100, "CR")</f>
        <v>0</v>
      </c>
      <c r="AA30" s="44"/>
      <c r="AB30" s="49" t="s">
        <v>130</v>
      </c>
      <c r="AC30" s="46">
        <f>COUNTIF(E3:E100,"MC")+COUNTIF(F3:F100,"MC")</f>
        <v>23</v>
      </c>
    </row>
    <row r="31" ht="15.75" customHeight="1">
      <c r="A31" s="25">
        <f t="shared" si="1"/>
        <v>4</v>
      </c>
      <c r="B31" s="25">
        <f t="shared" si="2"/>
        <v>10</v>
      </c>
      <c r="C31" s="26" t="s">
        <v>84</v>
      </c>
      <c r="D31" s="27" t="s">
        <v>131</v>
      </c>
      <c r="E31" s="28" t="s">
        <v>19</v>
      </c>
      <c r="F31" s="28"/>
      <c r="G31" s="29" t="s">
        <v>132</v>
      </c>
      <c r="H31" s="30" t="s">
        <v>21</v>
      </c>
      <c r="I31" s="31" t="s">
        <v>115</v>
      </c>
      <c r="J31" s="32" t="s">
        <v>68</v>
      </c>
      <c r="K31" s="30" t="s">
        <v>33</v>
      </c>
      <c r="L31" s="30"/>
      <c r="M31" s="30" t="s">
        <v>33</v>
      </c>
      <c r="N31" s="30" t="s">
        <v>33</v>
      </c>
      <c r="O31" s="30"/>
      <c r="P31" s="30" t="s">
        <v>33</v>
      </c>
      <c r="Q31" s="30" t="s">
        <v>33</v>
      </c>
      <c r="R31" s="30"/>
      <c r="S31" s="30" t="s">
        <v>33</v>
      </c>
      <c r="T31" s="30" t="s">
        <v>33</v>
      </c>
      <c r="U31" s="30"/>
      <c r="V31" s="30" t="s">
        <v>33</v>
      </c>
      <c r="W31" s="30" t="s">
        <v>33</v>
      </c>
      <c r="X31" s="33" t="str">
        <f t="shared" si="6"/>
        <v>#REF!</v>
      </c>
      <c r="Y31" s="49" t="s">
        <v>133</v>
      </c>
      <c r="Z31" s="46">
        <f>COUNTIF(G3:G100, "ES")</f>
        <v>1</v>
      </c>
      <c r="AA31" s="44"/>
      <c r="AB31" s="49" t="s">
        <v>134</v>
      </c>
      <c r="AC31" s="46">
        <f>COUNTIF(E3:E100,"MG")+COUNTIF(F3:F100,"MG")</f>
        <v>16</v>
      </c>
    </row>
    <row r="32" ht="15.75" customHeight="1">
      <c r="A32" s="25">
        <f t="shared" si="1"/>
        <v>4</v>
      </c>
      <c r="B32" s="25">
        <f t="shared" si="2"/>
        <v>11</v>
      </c>
      <c r="C32" s="26" t="s">
        <v>79</v>
      </c>
      <c r="D32" s="27" t="s">
        <v>135</v>
      </c>
      <c r="E32" s="28" t="s">
        <v>19</v>
      </c>
      <c r="F32" s="28"/>
      <c r="G32" s="29"/>
      <c r="H32" s="30" t="s">
        <v>21</v>
      </c>
      <c r="I32" s="31" t="s">
        <v>115</v>
      </c>
      <c r="J32" s="32" t="s">
        <v>68</v>
      </c>
      <c r="K32" s="30" t="s">
        <v>24</v>
      </c>
      <c r="L32" s="30"/>
      <c r="M32" s="30" t="s">
        <v>33</v>
      </c>
      <c r="N32" s="30" t="s">
        <v>21</v>
      </c>
      <c r="O32" s="30"/>
      <c r="P32" s="30" t="s">
        <v>24</v>
      </c>
      <c r="Q32" s="30" t="s">
        <v>21</v>
      </c>
      <c r="R32" s="30"/>
      <c r="S32" s="30" t="s">
        <v>24</v>
      </c>
      <c r="T32" s="30" t="s">
        <v>21</v>
      </c>
      <c r="U32" s="30"/>
      <c r="V32" s="30" t="s">
        <v>24</v>
      </c>
      <c r="W32" s="30" t="s">
        <v>24</v>
      </c>
      <c r="X32" s="33" t="str">
        <f t="shared" si="6"/>
        <v>#REF!</v>
      </c>
      <c r="Y32" s="49" t="s">
        <v>136</v>
      </c>
      <c r="Z32" s="46">
        <f>COUNTIF(G3:G100, "Ja")</f>
        <v>1</v>
      </c>
      <c r="AA32" s="44"/>
      <c r="AB32" s="49" t="s">
        <v>137</v>
      </c>
      <c r="AC32" s="46">
        <f>COUNTIF(E3:E100,"OD")+COUNTIF(F3:F100,"OD")</f>
        <v>6</v>
      </c>
    </row>
    <row r="33" ht="15.75" customHeight="1">
      <c r="A33" s="25">
        <f t="shared" si="1"/>
        <v>4</v>
      </c>
      <c r="B33" s="25">
        <f t="shared" si="2"/>
        <v>8</v>
      </c>
      <c r="C33" s="26" t="s">
        <v>54</v>
      </c>
      <c r="D33" s="27" t="s">
        <v>138</v>
      </c>
      <c r="E33" s="28" t="s">
        <v>61</v>
      </c>
      <c r="F33" s="28" t="s">
        <v>70</v>
      </c>
      <c r="G33" s="29" t="s">
        <v>62</v>
      </c>
      <c r="H33" s="30" t="s">
        <v>21</v>
      </c>
      <c r="I33" s="31" t="s">
        <v>115</v>
      </c>
      <c r="J33" s="32" t="s">
        <v>85</v>
      </c>
      <c r="K33" s="30" t="s">
        <v>21</v>
      </c>
      <c r="L33" s="30"/>
      <c r="M33" s="30" t="s">
        <v>21</v>
      </c>
      <c r="N33" s="30" t="s">
        <v>21</v>
      </c>
      <c r="O33" s="30"/>
      <c r="P33" s="30" t="s">
        <v>21</v>
      </c>
      <c r="Q33" s="30" t="s">
        <v>21</v>
      </c>
      <c r="R33" s="30"/>
      <c r="S33" s="30" t="s">
        <v>21</v>
      </c>
      <c r="T33" s="30" t="s">
        <v>21</v>
      </c>
      <c r="U33" s="30"/>
      <c r="V33" s="30" t="s">
        <v>21</v>
      </c>
      <c r="W33" s="30" t="s">
        <v>21</v>
      </c>
      <c r="X33" s="33" t="str">
        <f t="shared" si="6"/>
        <v>#REF!</v>
      </c>
      <c r="Y33" s="49" t="s">
        <v>139</v>
      </c>
      <c r="Z33" s="46">
        <f>COUNTIF(G3:G100, "Me")</f>
        <v>8</v>
      </c>
      <c r="AA33" s="44"/>
      <c r="AB33" s="49" t="s">
        <v>140</v>
      </c>
      <c r="AC33" s="46">
        <f>COUNTIF(E3:E100,"RO")+COUNTIF(F3:F100,"RO")</f>
        <v>10</v>
      </c>
    </row>
    <row r="34" ht="15.75" customHeight="1">
      <c r="A34" s="25">
        <f t="shared" si="1"/>
        <v>4</v>
      </c>
      <c r="B34" s="25">
        <f t="shared" si="2"/>
        <v>10</v>
      </c>
      <c r="C34" s="26" t="s">
        <v>84</v>
      </c>
      <c r="D34" s="27" t="s">
        <v>141</v>
      </c>
      <c r="E34" s="28" t="s">
        <v>28</v>
      </c>
      <c r="F34" s="28" t="s">
        <v>41</v>
      </c>
      <c r="G34" s="29"/>
      <c r="H34" s="30" t="s">
        <v>21</v>
      </c>
      <c r="I34" s="31" t="s">
        <v>115</v>
      </c>
      <c r="J34" s="32" t="s">
        <v>85</v>
      </c>
      <c r="K34" s="30" t="s">
        <v>37</v>
      </c>
      <c r="L34" s="30"/>
      <c r="M34" s="30" t="s">
        <v>37</v>
      </c>
      <c r="N34" s="30" t="s">
        <v>37</v>
      </c>
      <c r="O34" s="30"/>
      <c r="P34" s="30" t="s">
        <v>37</v>
      </c>
      <c r="Q34" s="52" t="s">
        <v>37</v>
      </c>
      <c r="R34" s="52"/>
      <c r="S34" s="52" t="s">
        <v>37</v>
      </c>
      <c r="T34" s="52" t="s">
        <v>37</v>
      </c>
      <c r="U34" s="52"/>
      <c r="V34" s="52" t="s">
        <v>37</v>
      </c>
      <c r="W34" s="52" t="s">
        <v>37</v>
      </c>
      <c r="X34" s="33" t="str">
        <f t="shared" si="6"/>
        <v>#REF!</v>
      </c>
      <c r="Y34" s="49" t="s">
        <v>142</v>
      </c>
      <c r="Z34" s="46">
        <f>COUNTIF(G3:G100, "Pa")</f>
        <v>1</v>
      </c>
      <c r="AA34" s="44"/>
      <c r="AB34" s="49" t="s">
        <v>143</v>
      </c>
      <c r="AC34" s="46">
        <f>COUNTIF(E3:E100,"TE")+COUNTIF(F3:F100,"TE")</f>
        <v>9</v>
      </c>
    </row>
    <row r="35" ht="15.75" customHeight="1">
      <c r="A35" s="25">
        <f t="shared" si="1"/>
        <v>4</v>
      </c>
      <c r="B35" s="25">
        <f t="shared" si="2"/>
        <v>10</v>
      </c>
      <c r="C35" s="26" t="s">
        <v>84</v>
      </c>
      <c r="D35" s="27" t="s">
        <v>144</v>
      </c>
      <c r="E35" s="28" t="s">
        <v>19</v>
      </c>
      <c r="F35" s="28" t="s">
        <v>70</v>
      </c>
      <c r="G35" s="29" t="s">
        <v>145</v>
      </c>
      <c r="H35" s="42" t="s">
        <v>30</v>
      </c>
      <c r="I35" s="31" t="s">
        <v>115</v>
      </c>
      <c r="J35" s="32" t="s">
        <v>85</v>
      </c>
      <c r="K35" s="30" t="s">
        <v>30</v>
      </c>
      <c r="L35" s="30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30" t="s">
        <v>30</v>
      </c>
      <c r="R35" s="30" t="s">
        <v>30</v>
      </c>
      <c r="S35" s="30" t="s">
        <v>30</v>
      </c>
      <c r="T35" s="30" t="s">
        <v>30</v>
      </c>
      <c r="U35" s="30" t="s">
        <v>30</v>
      </c>
      <c r="V35" s="30" t="s">
        <v>30</v>
      </c>
      <c r="W35" s="30" t="s">
        <v>30</v>
      </c>
      <c r="X35" s="33" t="str">
        <f t="shared" si="6"/>
        <v>#REF!</v>
      </c>
      <c r="Y35" s="49" t="s">
        <v>146</v>
      </c>
      <c r="Z35" s="46">
        <f>COUNTIF(G3:G100, "Py")</f>
        <v>0</v>
      </c>
      <c r="AA35" s="44"/>
      <c r="AB35" s="49" t="s">
        <v>147</v>
      </c>
      <c r="AC35" s="46">
        <f>COUNTIF(E3:E100,"TS")+COUNTIF(F3:F100,"TS")</f>
        <v>2</v>
      </c>
    </row>
    <row r="36" ht="15.75" customHeight="1">
      <c r="A36" s="25">
        <f t="shared" si="1"/>
        <v>4</v>
      </c>
      <c r="B36" s="25">
        <v>11.0</v>
      </c>
      <c r="C36" s="26" t="s">
        <v>84</v>
      </c>
      <c r="D36" s="27" t="s">
        <v>148</v>
      </c>
      <c r="E36" s="28" t="s">
        <v>61</v>
      </c>
      <c r="F36" s="28"/>
      <c r="G36" s="29" t="s">
        <v>149</v>
      </c>
      <c r="H36" s="30" t="s">
        <v>21</v>
      </c>
      <c r="I36" s="31" t="s">
        <v>115</v>
      </c>
      <c r="J36" s="32" t="s">
        <v>85</v>
      </c>
      <c r="K36" s="30" t="s">
        <v>33</v>
      </c>
      <c r="L36" s="30"/>
      <c r="M36" s="30" t="s">
        <v>33</v>
      </c>
      <c r="N36" s="30" t="s">
        <v>33</v>
      </c>
      <c r="O36" s="30"/>
      <c r="P36" s="30" t="s">
        <v>33</v>
      </c>
      <c r="Q36" s="30" t="s">
        <v>33</v>
      </c>
      <c r="R36" s="30"/>
      <c r="S36" s="30" t="s">
        <v>33</v>
      </c>
      <c r="T36" s="30" t="s">
        <v>33</v>
      </c>
      <c r="U36" s="30"/>
      <c r="V36" s="30" t="s">
        <v>33</v>
      </c>
      <c r="W36" s="30" t="s">
        <v>33</v>
      </c>
      <c r="X36" s="33" t="str">
        <f t="shared" si="6"/>
        <v>#REF!</v>
      </c>
      <c r="Y36" s="49" t="s">
        <v>150</v>
      </c>
      <c r="Z36" s="46">
        <f>COUNTIF(G3:G100, "Pe")</f>
        <v>3</v>
      </c>
      <c r="AA36" s="44"/>
      <c r="AB36" s="49"/>
      <c r="AC36" s="46"/>
    </row>
    <row r="37" ht="15.75" customHeight="1">
      <c r="A37" s="25">
        <f t="shared" si="1"/>
        <v>4</v>
      </c>
      <c r="B37" s="25">
        <f>IF(C37="Cap.",1,IF(C37="Tte.",2,IF(C37="Alf.",3,IF(C37="SgtM.",4,IF(C37="Sgt1.",5,IF(C37="Sgt.",6,IF(C37="Cbo1.",7,IF(C37="Cbo.",8,IF(C37="Dis.",9,IF(C37="Inf.",10,IF(C37="Rct.",11,15)))))))))))</f>
        <v>11</v>
      </c>
      <c r="C37" s="53" t="s">
        <v>79</v>
      </c>
      <c r="D37" s="54" t="s">
        <v>151</v>
      </c>
      <c r="E37" s="28" t="s">
        <v>19</v>
      </c>
      <c r="F37" s="28"/>
      <c r="G37" s="29" t="s">
        <v>71</v>
      </c>
      <c r="H37" s="30" t="s">
        <v>21</v>
      </c>
      <c r="I37" s="31" t="s">
        <v>115</v>
      </c>
      <c r="J37" s="32"/>
      <c r="K37" s="30" t="s">
        <v>21</v>
      </c>
      <c r="L37" s="30"/>
      <c r="M37" s="30" t="s">
        <v>21</v>
      </c>
      <c r="N37" s="30" t="s">
        <v>21</v>
      </c>
      <c r="O37" s="30"/>
      <c r="P37" s="30" t="s">
        <v>21</v>
      </c>
      <c r="Q37" s="30" t="s">
        <v>21</v>
      </c>
      <c r="R37" s="30"/>
      <c r="S37" s="30" t="s">
        <v>24</v>
      </c>
      <c r="T37" s="30" t="s">
        <v>24</v>
      </c>
      <c r="U37" s="30"/>
      <c r="V37" s="30" t="s">
        <v>24</v>
      </c>
      <c r="W37" s="30" t="s">
        <v>24</v>
      </c>
      <c r="X37" s="33" t="str">
        <f t="shared" si="6"/>
        <v>#REF!</v>
      </c>
      <c r="Y37" s="49" t="s">
        <v>152</v>
      </c>
      <c r="Z37" s="46">
        <f>COUNTIF(G3:G100, "US")</f>
        <v>1</v>
      </c>
      <c r="AA37" s="44"/>
      <c r="AB37" s="49"/>
      <c r="AC37" s="46"/>
    </row>
    <row r="38" ht="15.75" customHeight="1">
      <c r="A38" s="25">
        <v>4.0</v>
      </c>
      <c r="B38" s="25"/>
      <c r="C38" s="53" t="s">
        <v>79</v>
      </c>
      <c r="D38" s="27" t="s">
        <v>153</v>
      </c>
      <c r="E38" s="28" t="s">
        <v>19</v>
      </c>
      <c r="F38" s="28"/>
      <c r="G38" s="29"/>
      <c r="H38" s="30" t="s">
        <v>21</v>
      </c>
      <c r="I38" s="31" t="s">
        <v>115</v>
      </c>
      <c r="J38" s="32"/>
      <c r="K38" s="30" t="s">
        <v>24</v>
      </c>
      <c r="L38" s="30"/>
      <c r="M38" s="30" t="s">
        <v>21</v>
      </c>
      <c r="N38" s="30" t="s">
        <v>21</v>
      </c>
      <c r="O38" s="30"/>
      <c r="P38" s="30" t="s">
        <v>24</v>
      </c>
      <c r="Q38" s="30" t="s">
        <v>21</v>
      </c>
      <c r="R38" s="30"/>
      <c r="S38" s="30" t="s">
        <v>21</v>
      </c>
      <c r="T38" s="30" t="s">
        <v>24</v>
      </c>
      <c r="U38" s="30"/>
      <c r="V38" s="30" t="s">
        <v>21</v>
      </c>
      <c r="W38" s="30" t="s">
        <v>24</v>
      </c>
      <c r="X38" s="33" t="str">
        <f t="shared" si="6"/>
        <v>#REF!</v>
      </c>
      <c r="Y38" s="49" t="s">
        <v>154</v>
      </c>
      <c r="Z38" s="46">
        <f>COUNTIF(G1:G98, "Ve")</f>
        <v>18</v>
      </c>
      <c r="AA38" s="44"/>
      <c r="AB38" s="49"/>
      <c r="AC38" s="46"/>
    </row>
    <row r="39" ht="15.75" customHeight="1">
      <c r="A39" s="25">
        <v>4.0</v>
      </c>
      <c r="B39" s="25"/>
      <c r="C39" s="53" t="s">
        <v>79</v>
      </c>
      <c r="D39" s="27" t="s">
        <v>155</v>
      </c>
      <c r="E39" s="28" t="s">
        <v>19</v>
      </c>
      <c r="F39" s="28"/>
      <c r="G39" s="29"/>
      <c r="H39" s="30" t="s">
        <v>21</v>
      </c>
      <c r="I39" s="31" t="s">
        <v>115</v>
      </c>
      <c r="J39" s="32"/>
      <c r="K39" s="30" t="s">
        <v>21</v>
      </c>
      <c r="L39" s="30"/>
      <c r="M39" s="30" t="s">
        <v>21</v>
      </c>
      <c r="N39" s="30" t="s">
        <v>21</v>
      </c>
      <c r="O39" s="30"/>
      <c r="P39" s="30" t="s">
        <v>21</v>
      </c>
      <c r="Q39" s="30" t="s">
        <v>21</v>
      </c>
      <c r="R39" s="30"/>
      <c r="S39" s="30" t="s">
        <v>24</v>
      </c>
      <c r="T39" s="30" t="s">
        <v>21</v>
      </c>
      <c r="U39" s="30"/>
      <c r="V39" s="30" t="s">
        <v>21</v>
      </c>
      <c r="W39" s="30" t="s">
        <v>24</v>
      </c>
      <c r="X39" s="33" t="str">
        <f t="shared" si="6"/>
        <v>#REF!</v>
      </c>
      <c r="Y39" s="49" t="s">
        <v>156</v>
      </c>
      <c r="Z39" s="46">
        <f>COUNTIF(G1:G98, "PR")</f>
        <v>0</v>
      </c>
      <c r="AA39" s="44"/>
      <c r="AB39" s="49"/>
      <c r="AC39" s="46"/>
    </row>
    <row r="40" ht="15.75" customHeight="1">
      <c r="A40" s="25">
        <f t="shared" ref="A40:A100" si="7">IF(I40="ALTM",1,IF(I40="1° P",2,IF(I40="1° P - 1°M",3,IF(I40="1° P - 2°M",4,IF(I40="2° P",5,IF(I40="2° P - 3°M",6,IF(I40="2° P - 4°M",7,IF(I40="1° PP",8,IF(I40="1° PP - 1°Pa",9,IF(I40="1° PP - 2°Pa",10,IF(I40="Espectro",11,IF(I40="Caballeria",12,IF(I40="FAZR",13,15)))))))))))))</f>
        <v>9</v>
      </c>
      <c r="B40" s="25">
        <f t="shared" ref="B40:B100" si="8">IF(C40="Cap.",1,IF(C40="Tte.",2,IF(C40="Alf.",3,IF(C40="SgtM.",4,IF(C40="Sgt1.",5,IF(C40="Sgt.",6,IF(C40="Cbo1.",7,IF(C40="Cbo.",8,IF(C40="Dis.",9,IF(C40="Inf.",10,IF(C40="Rct.",11,15)))))))))))</f>
        <v>6</v>
      </c>
      <c r="C40" s="26" t="s">
        <v>113</v>
      </c>
      <c r="D40" s="27" t="s">
        <v>157</v>
      </c>
      <c r="E40" s="28" t="s">
        <v>48</v>
      </c>
      <c r="F40" s="28" t="s">
        <v>41</v>
      </c>
      <c r="G40" s="29" t="s">
        <v>20</v>
      </c>
      <c r="H40" s="30" t="s">
        <v>21</v>
      </c>
      <c r="I40" s="31" t="s">
        <v>158</v>
      </c>
      <c r="J40" s="32" t="s">
        <v>51</v>
      </c>
      <c r="K40" s="30" t="s">
        <v>24</v>
      </c>
      <c r="L40" s="30"/>
      <c r="M40" s="30" t="s">
        <v>21</v>
      </c>
      <c r="N40" s="30" t="s">
        <v>21</v>
      </c>
      <c r="O40" s="30"/>
      <c r="P40" s="30" t="s">
        <v>21</v>
      </c>
      <c r="Q40" s="30" t="s">
        <v>21</v>
      </c>
      <c r="R40" s="30"/>
      <c r="S40" s="30" t="s">
        <v>24</v>
      </c>
      <c r="T40" s="30" t="s">
        <v>24</v>
      </c>
      <c r="U40" s="30"/>
      <c r="V40" s="30" t="s">
        <v>21</v>
      </c>
      <c r="W40" s="30" t="s">
        <v>21</v>
      </c>
      <c r="X40" s="33" t="str">
        <f t="shared" si="6"/>
        <v>#REF!</v>
      </c>
      <c r="Y40" s="49" t="s">
        <v>159</v>
      </c>
      <c r="Z40" s="46">
        <f>COUNTIF(G1:G98, "Bo")</f>
        <v>1</v>
      </c>
      <c r="AA40" s="44"/>
      <c r="AB40" s="49"/>
      <c r="AC40" s="46"/>
    </row>
    <row r="41" ht="15.75" customHeight="1">
      <c r="A41" s="25">
        <f t="shared" si="7"/>
        <v>9</v>
      </c>
      <c r="B41" s="25">
        <f t="shared" si="8"/>
        <v>7</v>
      </c>
      <c r="C41" s="26" t="s">
        <v>46</v>
      </c>
      <c r="D41" s="27" t="s">
        <v>160</v>
      </c>
      <c r="E41" s="28" t="s">
        <v>61</v>
      </c>
      <c r="F41" s="28" t="s">
        <v>48</v>
      </c>
      <c r="G41" s="29" t="s">
        <v>149</v>
      </c>
      <c r="H41" s="30" t="s">
        <v>21</v>
      </c>
      <c r="I41" s="31" t="s">
        <v>158</v>
      </c>
      <c r="J41" s="32" t="s">
        <v>57</v>
      </c>
      <c r="K41" s="30" t="s">
        <v>21</v>
      </c>
      <c r="L41" s="30" t="s">
        <v>65</v>
      </c>
      <c r="M41" s="30" t="s">
        <v>21</v>
      </c>
      <c r="N41" s="30" t="s">
        <v>24</v>
      </c>
      <c r="O41" s="30"/>
      <c r="P41" s="30" t="s">
        <v>21</v>
      </c>
      <c r="Q41" s="30" t="s">
        <v>21</v>
      </c>
      <c r="R41" s="30"/>
      <c r="S41" s="30" t="s">
        <v>21</v>
      </c>
      <c r="T41" s="30" t="s">
        <v>24</v>
      </c>
      <c r="U41" s="30"/>
      <c r="V41" s="30" t="s">
        <v>21</v>
      </c>
      <c r="W41" s="30" t="s">
        <v>21</v>
      </c>
      <c r="X41" s="33" t="str">
        <f t="shared" si="6"/>
        <v>#REF!</v>
      </c>
      <c r="Y41" s="49" t="s">
        <v>161</v>
      </c>
      <c r="Z41" s="46">
        <f>COUNTIF(G1:G99, "RD")</f>
        <v>1</v>
      </c>
      <c r="AA41" s="44"/>
      <c r="AB41" s="44"/>
      <c r="AC41" s="44"/>
    </row>
    <row r="42" ht="15.75" customHeight="1">
      <c r="A42" s="25">
        <f t="shared" si="7"/>
        <v>9</v>
      </c>
      <c r="B42" s="25">
        <f t="shared" si="8"/>
        <v>7</v>
      </c>
      <c r="C42" s="26" t="s">
        <v>46</v>
      </c>
      <c r="D42" s="27" t="s">
        <v>162</v>
      </c>
      <c r="E42" s="28" t="s">
        <v>41</v>
      </c>
      <c r="F42" s="28" t="s">
        <v>28</v>
      </c>
      <c r="G42" s="29" t="s">
        <v>163</v>
      </c>
      <c r="H42" s="30" t="s">
        <v>30</v>
      </c>
      <c r="I42" s="31" t="s">
        <v>158</v>
      </c>
      <c r="J42" s="32" t="s">
        <v>63</v>
      </c>
      <c r="K42" s="30" t="s">
        <v>21</v>
      </c>
      <c r="L42" s="30" t="s">
        <v>30</v>
      </c>
      <c r="M42" s="30" t="s">
        <v>30</v>
      </c>
      <c r="N42" s="30" t="s">
        <v>30</v>
      </c>
      <c r="O42" s="30" t="s">
        <v>30</v>
      </c>
      <c r="P42" s="30" t="s">
        <v>30</v>
      </c>
      <c r="Q42" s="30" t="s">
        <v>30</v>
      </c>
      <c r="R42" s="30" t="s">
        <v>30</v>
      </c>
      <c r="S42" s="30" t="s">
        <v>30</v>
      </c>
      <c r="T42" s="30" t="s">
        <v>30</v>
      </c>
      <c r="U42" s="30" t="s">
        <v>30</v>
      </c>
      <c r="V42" s="30" t="s">
        <v>30</v>
      </c>
      <c r="W42" s="30" t="s">
        <v>30</v>
      </c>
      <c r="X42" s="33" t="str">
        <f t="shared" si="6"/>
        <v>#REF!</v>
      </c>
      <c r="Y42" s="49"/>
      <c r="Z42" s="46"/>
      <c r="AA42" s="44"/>
      <c r="AB42" s="44"/>
      <c r="AC42" s="44"/>
    </row>
    <row r="43" ht="15.75" customHeight="1">
      <c r="A43" s="25">
        <f t="shared" si="7"/>
        <v>9</v>
      </c>
      <c r="B43" s="25">
        <f t="shared" si="8"/>
        <v>9</v>
      </c>
      <c r="C43" s="26" t="s">
        <v>64</v>
      </c>
      <c r="D43" s="27" t="s">
        <v>164</v>
      </c>
      <c r="E43" s="28" t="s">
        <v>41</v>
      </c>
      <c r="F43" s="28" t="s">
        <v>28</v>
      </c>
      <c r="G43" s="29" t="s">
        <v>20</v>
      </c>
      <c r="H43" s="30" t="s">
        <v>21</v>
      </c>
      <c r="I43" s="31" t="s">
        <v>158</v>
      </c>
      <c r="J43" s="32" t="s">
        <v>68</v>
      </c>
      <c r="K43" s="30" t="s">
        <v>21</v>
      </c>
      <c r="L43" s="30"/>
      <c r="M43" s="30" t="s">
        <v>21</v>
      </c>
      <c r="N43" s="30" t="s">
        <v>21</v>
      </c>
      <c r="O43" s="30"/>
      <c r="P43" s="30" t="s">
        <v>21</v>
      </c>
      <c r="Q43" s="30" t="s">
        <v>24</v>
      </c>
      <c r="R43" s="30"/>
      <c r="S43" s="30" t="s">
        <v>21</v>
      </c>
      <c r="T43" s="30" t="s">
        <v>21</v>
      </c>
      <c r="U43" s="30"/>
      <c r="V43" s="30" t="s">
        <v>21</v>
      </c>
      <c r="W43" s="30" t="s">
        <v>21</v>
      </c>
      <c r="X43" s="33" t="str">
        <f t="shared" si="6"/>
        <v>#REF!</v>
      </c>
      <c r="Y43" s="49"/>
      <c r="Z43" s="46"/>
    </row>
    <row r="44" ht="15.75" customHeight="1">
      <c r="A44" s="25">
        <f t="shared" si="7"/>
        <v>9</v>
      </c>
      <c r="B44" s="25">
        <f t="shared" si="8"/>
        <v>8</v>
      </c>
      <c r="C44" s="26" t="s">
        <v>54</v>
      </c>
      <c r="D44" s="27" t="s">
        <v>165</v>
      </c>
      <c r="E44" s="28" t="s">
        <v>61</v>
      </c>
      <c r="F44" s="28" t="s">
        <v>41</v>
      </c>
      <c r="G44" s="29" t="s">
        <v>71</v>
      </c>
      <c r="H44" s="30" t="s">
        <v>21</v>
      </c>
      <c r="I44" s="31" t="s">
        <v>158</v>
      </c>
      <c r="J44" s="32" t="s">
        <v>85</v>
      </c>
      <c r="K44" s="30" t="s">
        <v>21</v>
      </c>
      <c r="L44" s="30"/>
      <c r="M44" s="30" t="s">
        <v>21</v>
      </c>
      <c r="N44" s="30" t="s">
        <v>24</v>
      </c>
      <c r="O44" s="30"/>
      <c r="P44" s="30" t="s">
        <v>21</v>
      </c>
      <c r="Q44" s="30" t="s">
        <v>24</v>
      </c>
      <c r="R44" s="30"/>
      <c r="S44" s="30" t="s">
        <v>21</v>
      </c>
      <c r="T44" s="30" t="s">
        <v>21</v>
      </c>
      <c r="U44" s="30"/>
      <c r="V44" s="30" t="s">
        <v>21</v>
      </c>
      <c r="W44" s="30" t="s">
        <v>21</v>
      </c>
      <c r="X44" s="33" t="str">
        <f t="shared" si="6"/>
        <v>#REF!</v>
      </c>
    </row>
    <row r="45" ht="15.75" customHeight="1">
      <c r="A45" s="25">
        <f t="shared" si="7"/>
        <v>9</v>
      </c>
      <c r="B45" s="25">
        <f t="shared" si="8"/>
        <v>10</v>
      </c>
      <c r="C45" s="26" t="s">
        <v>84</v>
      </c>
      <c r="D45" s="27" t="s">
        <v>166</v>
      </c>
      <c r="E45" s="28" t="s">
        <v>19</v>
      </c>
      <c r="F45" s="28" t="s">
        <v>48</v>
      </c>
      <c r="G45" s="29" t="s">
        <v>71</v>
      </c>
      <c r="H45" s="42" t="s">
        <v>21</v>
      </c>
      <c r="I45" s="31" t="s">
        <v>158</v>
      </c>
      <c r="J45" s="32" t="s">
        <v>85</v>
      </c>
      <c r="K45" s="42" t="s">
        <v>21</v>
      </c>
      <c r="L45" s="42"/>
      <c r="M45" s="42" t="s">
        <v>24</v>
      </c>
      <c r="N45" s="42" t="s">
        <v>21</v>
      </c>
      <c r="O45" s="42"/>
      <c r="P45" s="42" t="s">
        <v>21</v>
      </c>
      <c r="Q45" s="42" t="s">
        <v>21</v>
      </c>
      <c r="R45" s="42"/>
      <c r="S45" s="42" t="s">
        <v>21</v>
      </c>
      <c r="T45" s="42" t="s">
        <v>21</v>
      </c>
      <c r="U45" s="42"/>
      <c r="V45" s="42" t="s">
        <v>21</v>
      </c>
      <c r="W45" s="42" t="s">
        <v>21</v>
      </c>
      <c r="X45" s="33" t="str">
        <f t="shared" si="6"/>
        <v>#REF!</v>
      </c>
      <c r="Y45" s="55" t="s">
        <v>167</v>
      </c>
      <c r="Z45" s="5"/>
      <c r="AA45" s="47"/>
      <c r="AB45" s="55" t="s">
        <v>168</v>
      </c>
      <c r="AC45" s="5"/>
    </row>
    <row r="46" ht="15.75" customHeight="1">
      <c r="A46" s="25">
        <f t="shared" si="7"/>
        <v>9</v>
      </c>
      <c r="B46" s="25">
        <f t="shared" si="8"/>
        <v>6</v>
      </c>
      <c r="C46" s="26" t="s">
        <v>113</v>
      </c>
      <c r="D46" s="27" t="s">
        <v>169</v>
      </c>
      <c r="E46" s="28" t="s">
        <v>41</v>
      </c>
      <c r="F46" s="28" t="s">
        <v>19</v>
      </c>
      <c r="G46" s="29" t="s">
        <v>20</v>
      </c>
      <c r="H46" s="30" t="s">
        <v>30</v>
      </c>
      <c r="I46" s="31" t="s">
        <v>158</v>
      </c>
      <c r="J46" s="32"/>
      <c r="K46" s="30" t="s">
        <v>30</v>
      </c>
      <c r="L46" s="30" t="s">
        <v>30</v>
      </c>
      <c r="M46" s="30" t="s">
        <v>30</v>
      </c>
      <c r="N46" s="30" t="s">
        <v>30</v>
      </c>
      <c r="O46" s="30" t="s">
        <v>30</v>
      </c>
      <c r="P46" s="30" t="s">
        <v>30</v>
      </c>
      <c r="Q46" s="30" t="s">
        <v>30</v>
      </c>
      <c r="R46" s="30" t="s">
        <v>30</v>
      </c>
      <c r="S46" s="30" t="s">
        <v>30</v>
      </c>
      <c r="T46" s="30" t="s">
        <v>30</v>
      </c>
      <c r="U46" s="30" t="s">
        <v>30</v>
      </c>
      <c r="V46" s="30" t="s">
        <v>30</v>
      </c>
      <c r="W46" s="30" t="s">
        <v>30</v>
      </c>
      <c r="X46" s="33" t="str">
        <f t="shared" si="6"/>
        <v>#REF!</v>
      </c>
      <c r="Y46" s="56" t="s">
        <v>9</v>
      </c>
      <c r="Z46" s="57"/>
      <c r="AA46" s="58" t="s">
        <v>170</v>
      </c>
      <c r="AB46" s="58" t="s">
        <v>171</v>
      </c>
      <c r="AC46" s="58" t="s">
        <v>176</v>
      </c>
    </row>
    <row r="47" ht="15.75" customHeight="1">
      <c r="A47" s="25">
        <f t="shared" si="7"/>
        <v>9</v>
      </c>
      <c r="B47" s="25">
        <f t="shared" si="8"/>
        <v>7</v>
      </c>
      <c r="C47" s="26" t="s">
        <v>46</v>
      </c>
      <c r="D47" s="27" t="s">
        <v>173</v>
      </c>
      <c r="E47" s="28" t="s">
        <v>76</v>
      </c>
      <c r="F47" s="28" t="s">
        <v>56</v>
      </c>
      <c r="G47" s="29" t="s">
        <v>20</v>
      </c>
      <c r="H47" s="30" t="s">
        <v>30</v>
      </c>
      <c r="I47" s="31" t="s">
        <v>158</v>
      </c>
      <c r="J47" s="32"/>
      <c r="K47" s="30" t="s">
        <v>30</v>
      </c>
      <c r="L47" s="30" t="s">
        <v>30</v>
      </c>
      <c r="M47" s="30" t="s">
        <v>30</v>
      </c>
      <c r="N47" s="30" t="s">
        <v>30</v>
      </c>
      <c r="O47" s="30" t="s">
        <v>30</v>
      </c>
      <c r="P47" s="30" t="s">
        <v>30</v>
      </c>
      <c r="Q47" s="30" t="s">
        <v>30</v>
      </c>
      <c r="R47" s="30" t="s">
        <v>30</v>
      </c>
      <c r="S47" s="30" t="s">
        <v>30</v>
      </c>
      <c r="T47" s="30" t="s">
        <v>30</v>
      </c>
      <c r="U47" s="30" t="s">
        <v>30</v>
      </c>
      <c r="V47" s="30" t="s">
        <v>30</v>
      </c>
      <c r="W47" s="30" t="s">
        <v>30</v>
      </c>
      <c r="X47" s="33" t="str">
        <f t="shared" si="6"/>
        <v>#REF!</v>
      </c>
      <c r="Y47" s="59" t="s">
        <v>195</v>
      </c>
      <c r="Z47" s="57"/>
      <c r="AA47" s="60">
        <v>43431.0</v>
      </c>
      <c r="AB47" s="61" t="s">
        <v>179</v>
      </c>
      <c r="AC47" s="61"/>
    </row>
    <row r="48" ht="15.75" customHeight="1">
      <c r="A48" s="25">
        <f t="shared" si="7"/>
        <v>9</v>
      </c>
      <c r="B48" s="25">
        <f t="shared" si="8"/>
        <v>7</v>
      </c>
      <c r="C48" s="26" t="s">
        <v>46</v>
      </c>
      <c r="D48" s="27" t="s">
        <v>174</v>
      </c>
      <c r="E48" s="28" t="s">
        <v>29</v>
      </c>
      <c r="F48" s="28" t="s">
        <v>28</v>
      </c>
      <c r="G48" s="29" t="s">
        <v>71</v>
      </c>
      <c r="H48" s="42" t="s">
        <v>21</v>
      </c>
      <c r="I48" s="31" t="s">
        <v>158</v>
      </c>
      <c r="J48" s="3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33" t="str">
        <f t="shared" si="6"/>
        <v>#REF!</v>
      </c>
      <c r="Y48" s="59"/>
      <c r="Z48" s="57"/>
      <c r="AA48" s="60"/>
      <c r="AB48" s="61"/>
      <c r="AC48" s="61"/>
    </row>
    <row r="49" ht="15.75" customHeight="1">
      <c r="A49" s="25">
        <f t="shared" si="7"/>
        <v>9</v>
      </c>
      <c r="B49" s="25">
        <f t="shared" si="8"/>
        <v>9</v>
      </c>
      <c r="C49" s="26" t="s">
        <v>64</v>
      </c>
      <c r="D49" s="27" t="s">
        <v>175</v>
      </c>
      <c r="E49" s="28" t="s">
        <v>70</v>
      </c>
      <c r="F49" s="28" t="s">
        <v>41</v>
      </c>
      <c r="G49" s="29" t="s">
        <v>49</v>
      </c>
      <c r="H49" s="30" t="s">
        <v>30</v>
      </c>
      <c r="I49" s="31" t="s">
        <v>158</v>
      </c>
      <c r="J49" s="32"/>
      <c r="K49" s="30" t="s">
        <v>30</v>
      </c>
      <c r="L49" s="30" t="s">
        <v>30</v>
      </c>
      <c r="M49" s="30" t="s">
        <v>30</v>
      </c>
      <c r="N49" s="30" t="s">
        <v>30</v>
      </c>
      <c r="O49" s="30" t="s">
        <v>30</v>
      </c>
      <c r="P49" s="30" t="s">
        <v>30</v>
      </c>
      <c r="Q49" s="30" t="s">
        <v>30</v>
      </c>
      <c r="R49" s="30" t="s">
        <v>30</v>
      </c>
      <c r="S49" s="30" t="s">
        <v>30</v>
      </c>
      <c r="T49" s="30" t="s">
        <v>30</v>
      </c>
      <c r="U49" s="30" t="s">
        <v>30</v>
      </c>
      <c r="V49" s="30" t="s">
        <v>30</v>
      </c>
      <c r="W49" s="30" t="s">
        <v>30</v>
      </c>
      <c r="X49" s="33" t="str">
        <f t="shared" si="6"/>
        <v>#REF!</v>
      </c>
      <c r="Y49" s="59"/>
      <c r="Z49" s="57"/>
      <c r="AA49" s="60"/>
      <c r="AB49" s="61"/>
      <c r="AC49" s="61"/>
    </row>
    <row r="50" ht="15.75" customHeight="1">
      <c r="A50" s="25">
        <f t="shared" si="7"/>
        <v>9</v>
      </c>
      <c r="B50" s="25">
        <f t="shared" si="8"/>
        <v>10</v>
      </c>
      <c r="C50" s="26" t="s">
        <v>84</v>
      </c>
      <c r="D50" s="27" t="s">
        <v>177</v>
      </c>
      <c r="E50" s="28" t="s">
        <v>19</v>
      </c>
      <c r="F50" s="28" t="s">
        <v>70</v>
      </c>
      <c r="G50" s="29" t="s">
        <v>71</v>
      </c>
      <c r="H50" s="34" t="s">
        <v>21</v>
      </c>
      <c r="I50" s="31" t="s">
        <v>158</v>
      </c>
      <c r="J50" s="32"/>
      <c r="K50" s="30" t="s">
        <v>21</v>
      </c>
      <c r="L50" s="30" t="s">
        <v>65</v>
      </c>
      <c r="M50" s="30" t="s">
        <v>21</v>
      </c>
      <c r="N50" s="30" t="s">
        <v>21</v>
      </c>
      <c r="O50" s="30"/>
      <c r="P50" s="30" t="s">
        <v>21</v>
      </c>
      <c r="Q50" s="30" t="s">
        <v>24</v>
      </c>
      <c r="R50" s="30"/>
      <c r="S50" s="30" t="s">
        <v>21</v>
      </c>
      <c r="T50" s="30" t="s">
        <v>21</v>
      </c>
      <c r="U50" s="30"/>
      <c r="V50" s="30" t="s">
        <v>21</v>
      </c>
      <c r="W50" s="30" t="s">
        <v>21</v>
      </c>
      <c r="X50" s="33" t="str">
        <f t="shared" si="6"/>
        <v>#REF!</v>
      </c>
      <c r="Y50" s="59"/>
      <c r="Z50" s="57"/>
      <c r="AA50" s="60"/>
      <c r="AB50" s="61"/>
      <c r="AC50" s="61"/>
    </row>
    <row r="51" ht="15.75" customHeight="1">
      <c r="A51" s="25">
        <f t="shared" si="7"/>
        <v>11</v>
      </c>
      <c r="B51" s="25">
        <f t="shared" si="8"/>
        <v>6</v>
      </c>
      <c r="C51" s="26" t="s">
        <v>113</v>
      </c>
      <c r="D51" s="27" t="s">
        <v>180</v>
      </c>
      <c r="E51" s="28" t="s">
        <v>48</v>
      </c>
      <c r="F51" s="28" t="s">
        <v>28</v>
      </c>
      <c r="G51" s="29" t="s">
        <v>20</v>
      </c>
      <c r="H51" s="30" t="s">
        <v>21</v>
      </c>
      <c r="I51" s="31" t="s">
        <v>89</v>
      </c>
      <c r="J51" s="32" t="s">
        <v>68</v>
      </c>
      <c r="K51" s="30" t="s">
        <v>30</v>
      </c>
      <c r="L51" s="30" t="s">
        <v>30</v>
      </c>
      <c r="M51" s="30" t="s">
        <v>30</v>
      </c>
      <c r="N51" s="30" t="s">
        <v>30</v>
      </c>
      <c r="O51" s="30" t="s">
        <v>30</v>
      </c>
      <c r="P51" s="30" t="s">
        <v>30</v>
      </c>
      <c r="Q51" s="30" t="s">
        <v>30</v>
      </c>
      <c r="R51" s="30" t="s">
        <v>30</v>
      </c>
      <c r="S51" s="30" t="s">
        <v>30</v>
      </c>
      <c r="T51" s="30" t="s">
        <v>30</v>
      </c>
      <c r="U51" s="30" t="s">
        <v>30</v>
      </c>
      <c r="V51" s="30" t="s">
        <v>30</v>
      </c>
      <c r="W51" s="30" t="s">
        <v>30</v>
      </c>
      <c r="X51" s="33" t="str">
        <f t="shared" si="6"/>
        <v>#REF!</v>
      </c>
      <c r="Y51" s="59"/>
      <c r="Z51" s="57"/>
      <c r="AA51" s="60"/>
      <c r="AB51" s="61"/>
      <c r="AC51" s="61"/>
    </row>
    <row r="52" ht="15.75" customHeight="1">
      <c r="A52" s="25">
        <f t="shared" si="7"/>
        <v>11</v>
      </c>
      <c r="B52" s="25">
        <f t="shared" si="8"/>
        <v>5</v>
      </c>
      <c r="C52" s="26" t="s">
        <v>184</v>
      </c>
      <c r="D52" s="27" t="s">
        <v>185</v>
      </c>
      <c r="E52" s="28" t="s">
        <v>70</v>
      </c>
      <c r="F52" s="28" t="s">
        <v>19</v>
      </c>
      <c r="G52" s="29" t="s">
        <v>71</v>
      </c>
      <c r="H52" s="30" t="s">
        <v>21</v>
      </c>
      <c r="I52" s="31" t="s">
        <v>89</v>
      </c>
      <c r="J52" s="32"/>
      <c r="K52" s="30" t="s">
        <v>21</v>
      </c>
      <c r="L52" s="30"/>
      <c r="M52" s="30" t="s">
        <v>21</v>
      </c>
      <c r="N52" s="30" t="s">
        <v>21</v>
      </c>
      <c r="O52" s="30"/>
      <c r="P52" s="30" t="s">
        <v>21</v>
      </c>
      <c r="Q52" s="30" t="s">
        <v>21</v>
      </c>
      <c r="R52" s="30"/>
      <c r="S52" s="30" t="s">
        <v>21</v>
      </c>
      <c r="T52" s="30" t="s">
        <v>21</v>
      </c>
      <c r="U52" s="30"/>
      <c r="V52" s="30" t="s">
        <v>21</v>
      </c>
      <c r="W52" s="30" t="s">
        <v>21</v>
      </c>
      <c r="X52" s="33" t="str">
        <f t="shared" si="6"/>
        <v>#REF!</v>
      </c>
      <c r="Y52" s="59"/>
      <c r="Z52" s="57"/>
      <c r="AA52" s="60"/>
      <c r="AB52" s="61"/>
      <c r="AC52" s="61"/>
    </row>
    <row r="53" ht="15.75" customHeight="1">
      <c r="A53" s="25">
        <f t="shared" si="7"/>
        <v>11</v>
      </c>
      <c r="B53" s="25">
        <f t="shared" si="8"/>
        <v>9</v>
      </c>
      <c r="C53" s="26" t="s">
        <v>64</v>
      </c>
      <c r="D53" s="27" t="s">
        <v>187</v>
      </c>
      <c r="E53" s="28" t="s">
        <v>61</v>
      </c>
      <c r="F53" s="28" t="s">
        <v>41</v>
      </c>
      <c r="G53" s="29" t="s">
        <v>163</v>
      </c>
      <c r="H53" s="30" t="s">
        <v>30</v>
      </c>
      <c r="I53" s="31" t="s">
        <v>89</v>
      </c>
      <c r="J53" s="32"/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3" t="str">
        <f t="shared" si="6"/>
        <v>#REF!</v>
      </c>
      <c r="Y53" s="59"/>
      <c r="Z53" s="57"/>
      <c r="AA53" s="60"/>
      <c r="AB53" s="61"/>
      <c r="AC53" s="61"/>
    </row>
    <row r="54" ht="15.75" customHeight="1">
      <c r="A54" s="25">
        <f t="shared" si="7"/>
        <v>12</v>
      </c>
      <c r="B54" s="25">
        <f t="shared" si="8"/>
        <v>7</v>
      </c>
      <c r="C54" s="26" t="s">
        <v>46</v>
      </c>
      <c r="D54" s="27" t="s">
        <v>188</v>
      </c>
      <c r="E54" s="28" t="s">
        <v>41</v>
      </c>
      <c r="F54" s="28" t="s">
        <v>61</v>
      </c>
      <c r="G54" s="29" t="s">
        <v>62</v>
      </c>
      <c r="H54" s="30" t="s">
        <v>21</v>
      </c>
      <c r="I54" s="31" t="s">
        <v>92</v>
      </c>
      <c r="J54" s="32" t="s">
        <v>189</v>
      </c>
      <c r="K54" s="30" t="s">
        <v>21</v>
      </c>
      <c r="L54" s="30"/>
      <c r="M54" s="30" t="s">
        <v>21</v>
      </c>
      <c r="N54" s="30" t="s">
        <v>21</v>
      </c>
      <c r="O54" s="30"/>
      <c r="P54" s="30" t="s">
        <v>21</v>
      </c>
      <c r="Q54" s="30" t="s">
        <v>21</v>
      </c>
      <c r="R54" s="30"/>
      <c r="S54" s="30" t="s">
        <v>21</v>
      </c>
      <c r="T54" s="30" t="s">
        <v>21</v>
      </c>
      <c r="U54" s="30"/>
      <c r="V54" s="30" t="s">
        <v>21</v>
      </c>
      <c r="W54" s="30" t="s">
        <v>21</v>
      </c>
      <c r="X54" s="33" t="str">
        <f t="shared" si="6"/>
        <v>#REF!</v>
      </c>
      <c r="Y54" s="59"/>
      <c r="Z54" s="57"/>
      <c r="AA54" s="60"/>
      <c r="AB54" s="61"/>
      <c r="AC54" s="61"/>
    </row>
    <row r="55" ht="15.75" customHeight="1">
      <c r="A55" s="25">
        <f t="shared" si="7"/>
        <v>12</v>
      </c>
      <c r="B55" s="25">
        <f t="shared" si="8"/>
        <v>6</v>
      </c>
      <c r="C55" s="26" t="s">
        <v>113</v>
      </c>
      <c r="D55" s="27" t="s">
        <v>190</v>
      </c>
      <c r="E55" s="28" t="s">
        <v>70</v>
      </c>
      <c r="F55" s="28" t="s">
        <v>48</v>
      </c>
      <c r="G55" s="29" t="s">
        <v>191</v>
      </c>
      <c r="H55" s="30" t="s">
        <v>21</v>
      </c>
      <c r="I55" s="31" t="s">
        <v>92</v>
      </c>
      <c r="J55" s="32" t="s">
        <v>192</v>
      </c>
      <c r="K55" s="30" t="s">
        <v>30</v>
      </c>
      <c r="L55" s="30" t="s">
        <v>30</v>
      </c>
      <c r="M55" s="30" t="s">
        <v>30</v>
      </c>
      <c r="N55" s="30" t="s">
        <v>30</v>
      </c>
      <c r="O55" s="30" t="s">
        <v>30</v>
      </c>
      <c r="P55" s="30" t="s">
        <v>30</v>
      </c>
      <c r="Q55" s="30" t="s">
        <v>30</v>
      </c>
      <c r="R55" s="30" t="s">
        <v>30</v>
      </c>
      <c r="S55" s="30" t="s">
        <v>30</v>
      </c>
      <c r="T55" s="30" t="s">
        <v>30</v>
      </c>
      <c r="U55" s="30" t="s">
        <v>30</v>
      </c>
      <c r="V55" s="30" t="s">
        <v>30</v>
      </c>
      <c r="W55" s="30" t="s">
        <v>30</v>
      </c>
      <c r="X55" s="33" t="str">
        <f t="shared" si="6"/>
        <v>#REF!</v>
      </c>
      <c r="Y55" s="59"/>
      <c r="Z55" s="57"/>
      <c r="AA55" s="60"/>
      <c r="AB55" s="61"/>
      <c r="AC55" s="61"/>
    </row>
    <row r="56" ht="15.75" customHeight="1">
      <c r="A56" s="25">
        <f t="shared" si="7"/>
        <v>12</v>
      </c>
      <c r="B56" s="25">
        <f t="shared" si="8"/>
        <v>8</v>
      </c>
      <c r="C56" s="26" t="s">
        <v>54</v>
      </c>
      <c r="D56" s="27" t="s">
        <v>193</v>
      </c>
      <c r="E56" s="28" t="s">
        <v>19</v>
      </c>
      <c r="F56" s="28"/>
      <c r="G56" s="29" t="s">
        <v>49</v>
      </c>
      <c r="H56" s="30" t="s">
        <v>30</v>
      </c>
      <c r="I56" s="31" t="s">
        <v>92</v>
      </c>
      <c r="J56" s="32" t="s">
        <v>194</v>
      </c>
      <c r="K56" s="30" t="s">
        <v>30</v>
      </c>
      <c r="L56" s="30" t="s">
        <v>30</v>
      </c>
      <c r="M56" s="30" t="s">
        <v>30</v>
      </c>
      <c r="N56" s="30" t="s">
        <v>30</v>
      </c>
      <c r="O56" s="30" t="s">
        <v>30</v>
      </c>
      <c r="P56" s="30" t="s">
        <v>30</v>
      </c>
      <c r="Q56" s="30" t="s">
        <v>30</v>
      </c>
      <c r="R56" s="30" t="s">
        <v>30</v>
      </c>
      <c r="S56" s="30" t="s">
        <v>30</v>
      </c>
      <c r="T56" s="30" t="s">
        <v>30</v>
      </c>
      <c r="U56" s="30" t="s">
        <v>30</v>
      </c>
      <c r="V56" s="30" t="s">
        <v>30</v>
      </c>
      <c r="W56" s="30" t="s">
        <v>30</v>
      </c>
      <c r="X56" s="33" t="str">
        <f t="shared" si="6"/>
        <v>#REF!</v>
      </c>
      <c r="Y56" s="59"/>
      <c r="Z56" s="57"/>
      <c r="AA56" s="60"/>
      <c r="AB56" s="61"/>
      <c r="AC56" s="61"/>
    </row>
    <row r="57" ht="15.75" customHeight="1">
      <c r="A57" s="25">
        <f t="shared" si="7"/>
        <v>12</v>
      </c>
      <c r="B57" s="25">
        <f t="shared" si="8"/>
        <v>6</v>
      </c>
      <c r="C57" s="26" t="s">
        <v>113</v>
      </c>
      <c r="D57" s="27" t="s">
        <v>196</v>
      </c>
      <c r="E57" s="28" t="s">
        <v>70</v>
      </c>
      <c r="F57" s="28" t="s">
        <v>61</v>
      </c>
      <c r="G57" s="29" t="s">
        <v>20</v>
      </c>
      <c r="H57" s="30" t="s">
        <v>21</v>
      </c>
      <c r="I57" s="31" t="s">
        <v>92</v>
      </c>
      <c r="J57" s="32" t="s">
        <v>197</v>
      </c>
      <c r="K57" s="30" t="s">
        <v>21</v>
      </c>
      <c r="L57" s="30"/>
      <c r="M57" s="30" t="s">
        <v>21</v>
      </c>
      <c r="N57" s="30" t="s">
        <v>21</v>
      </c>
      <c r="O57" s="30"/>
      <c r="P57" s="30" t="s">
        <v>21</v>
      </c>
      <c r="Q57" s="30" t="s">
        <v>21</v>
      </c>
      <c r="R57" s="30"/>
      <c r="S57" s="30" t="s">
        <v>21</v>
      </c>
      <c r="T57" s="30" t="s">
        <v>21</v>
      </c>
      <c r="U57" s="30"/>
      <c r="V57" s="30" t="s">
        <v>21</v>
      </c>
      <c r="W57" s="30" t="s">
        <v>21</v>
      </c>
      <c r="X57" s="33" t="str">
        <f t="shared" si="6"/>
        <v>#REF!</v>
      </c>
      <c r="Y57" s="59"/>
      <c r="Z57" s="57"/>
      <c r="AA57" s="60"/>
      <c r="AB57" s="61"/>
      <c r="AC57" s="61"/>
    </row>
    <row r="58" ht="15.75" customHeight="1">
      <c r="A58" s="25">
        <f t="shared" si="7"/>
        <v>12</v>
      </c>
      <c r="B58" s="25">
        <f t="shared" si="8"/>
        <v>9</v>
      </c>
      <c r="C58" s="26" t="s">
        <v>64</v>
      </c>
      <c r="D58" s="62" t="s">
        <v>198</v>
      </c>
      <c r="E58" s="28" t="s">
        <v>70</v>
      </c>
      <c r="F58" s="28" t="s">
        <v>61</v>
      </c>
      <c r="G58" s="29" t="s">
        <v>71</v>
      </c>
      <c r="H58" s="30" t="s">
        <v>21</v>
      </c>
      <c r="I58" s="31" t="s">
        <v>92</v>
      </c>
      <c r="J58" s="32" t="s">
        <v>199</v>
      </c>
      <c r="K58" s="30" t="s">
        <v>21</v>
      </c>
      <c r="L58" s="30"/>
      <c r="M58" s="30" t="s">
        <v>21</v>
      </c>
      <c r="N58" s="30" t="s">
        <v>21</v>
      </c>
      <c r="O58" s="30"/>
      <c r="P58" s="30" t="s">
        <v>21</v>
      </c>
      <c r="Q58" s="30" t="s">
        <v>21</v>
      </c>
      <c r="R58" s="30"/>
      <c r="S58" s="30" t="s">
        <v>21</v>
      </c>
      <c r="T58" s="30" t="s">
        <v>21</v>
      </c>
      <c r="U58" s="30"/>
      <c r="V58" s="30" t="s">
        <v>21</v>
      </c>
      <c r="W58" s="30" t="s">
        <v>21</v>
      </c>
      <c r="X58" s="33" t="str">
        <f t="shared" si="6"/>
        <v>#REF!</v>
      </c>
      <c r="Y58" s="59"/>
      <c r="Z58" s="57"/>
      <c r="AA58" s="60"/>
      <c r="AB58" s="61"/>
      <c r="AC58" s="61"/>
    </row>
    <row r="59" ht="15.75" customHeight="1">
      <c r="A59" s="25">
        <f t="shared" si="7"/>
        <v>12</v>
      </c>
      <c r="B59" s="25">
        <f t="shared" si="8"/>
        <v>10</v>
      </c>
      <c r="C59" s="26" t="s">
        <v>84</v>
      </c>
      <c r="D59" s="27" t="s">
        <v>200</v>
      </c>
      <c r="E59" s="28" t="s">
        <v>19</v>
      </c>
      <c r="F59" s="28" t="s">
        <v>70</v>
      </c>
      <c r="G59" s="29" t="s">
        <v>71</v>
      </c>
      <c r="H59" s="30" t="s">
        <v>21</v>
      </c>
      <c r="I59" s="31" t="s">
        <v>92</v>
      </c>
      <c r="J59" s="32" t="s">
        <v>199</v>
      </c>
      <c r="K59" s="30" t="s">
        <v>21</v>
      </c>
      <c r="L59" s="30"/>
      <c r="M59" s="30" t="s">
        <v>21</v>
      </c>
      <c r="N59" s="30" t="s">
        <v>21</v>
      </c>
      <c r="O59" s="30"/>
      <c r="P59" s="30" t="s">
        <v>21</v>
      </c>
      <c r="Q59" s="30" t="s">
        <v>21</v>
      </c>
      <c r="R59" s="30"/>
      <c r="S59" s="30" t="s">
        <v>21</v>
      </c>
      <c r="T59" s="30" t="s">
        <v>24</v>
      </c>
      <c r="U59" s="30"/>
      <c r="V59" s="30" t="s">
        <v>24</v>
      </c>
      <c r="W59" s="30" t="s">
        <v>24</v>
      </c>
      <c r="X59" s="33" t="str">
        <f t="shared" si="6"/>
        <v>#REF!</v>
      </c>
      <c r="Y59" s="59"/>
      <c r="Z59" s="57"/>
      <c r="AA59" s="60"/>
      <c r="AB59" s="61"/>
      <c r="AC59" s="61"/>
    </row>
    <row r="60" ht="15.75" customHeight="1">
      <c r="A60" s="25">
        <f t="shared" si="7"/>
        <v>12</v>
      </c>
      <c r="B60" s="25">
        <f t="shared" si="8"/>
        <v>10</v>
      </c>
      <c r="C60" s="26" t="s">
        <v>84</v>
      </c>
      <c r="D60" s="27" t="s">
        <v>201</v>
      </c>
      <c r="E60" s="28" t="s">
        <v>19</v>
      </c>
      <c r="F60" s="28"/>
      <c r="G60" s="29" t="s">
        <v>62</v>
      </c>
      <c r="H60" s="30" t="s">
        <v>21</v>
      </c>
      <c r="I60" s="31" t="s">
        <v>92</v>
      </c>
      <c r="J60" s="32" t="s">
        <v>202</v>
      </c>
      <c r="K60" s="30" t="s">
        <v>21</v>
      </c>
      <c r="L60" s="63"/>
      <c r="M60" s="30" t="s">
        <v>24</v>
      </c>
      <c r="N60" s="30" t="s">
        <v>21</v>
      </c>
      <c r="O60" s="30"/>
      <c r="P60" s="30" t="s">
        <v>21</v>
      </c>
      <c r="Q60" s="30" t="s">
        <v>21</v>
      </c>
      <c r="R60" s="30"/>
      <c r="S60" s="30" t="s">
        <v>21</v>
      </c>
      <c r="T60" s="30" t="s">
        <v>24</v>
      </c>
      <c r="U60" s="30"/>
      <c r="V60" s="30" t="s">
        <v>24</v>
      </c>
      <c r="W60" s="30" t="s">
        <v>24</v>
      </c>
      <c r="X60" s="33" t="str">
        <f t="shared" si="6"/>
        <v>#REF!</v>
      </c>
    </row>
    <row r="61" ht="15.75" customHeight="1">
      <c r="A61" s="25">
        <f t="shared" si="7"/>
        <v>12</v>
      </c>
      <c r="B61" s="25">
        <f t="shared" si="8"/>
        <v>10</v>
      </c>
      <c r="C61" s="26" t="s">
        <v>84</v>
      </c>
      <c r="D61" s="27" t="s">
        <v>203</v>
      </c>
      <c r="E61" s="28" t="s">
        <v>61</v>
      </c>
      <c r="F61" s="28" t="s">
        <v>41</v>
      </c>
      <c r="G61" s="29" t="s">
        <v>71</v>
      </c>
      <c r="H61" s="30" t="s">
        <v>30</v>
      </c>
      <c r="I61" s="31" t="s">
        <v>92</v>
      </c>
      <c r="J61" s="32" t="s">
        <v>204</v>
      </c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0" t="s">
        <v>30</v>
      </c>
      <c r="X61" s="33" t="str">
        <f t="shared" si="6"/>
        <v>#REF!</v>
      </c>
    </row>
    <row r="62" ht="15.75" customHeight="1">
      <c r="A62" s="25">
        <f t="shared" si="7"/>
        <v>12</v>
      </c>
      <c r="B62" s="25">
        <f t="shared" si="8"/>
        <v>10</v>
      </c>
      <c r="C62" s="26" t="s">
        <v>84</v>
      </c>
      <c r="D62" s="27" t="s">
        <v>209</v>
      </c>
      <c r="E62" s="28" t="s">
        <v>19</v>
      </c>
      <c r="F62" s="28"/>
      <c r="G62" s="29" t="s">
        <v>71</v>
      </c>
      <c r="H62" s="30" t="s">
        <v>21</v>
      </c>
      <c r="I62" s="31" t="s">
        <v>92</v>
      </c>
      <c r="J62" s="32" t="s">
        <v>204</v>
      </c>
      <c r="K62" s="30" t="s">
        <v>33</v>
      </c>
      <c r="L62" s="30" t="s">
        <v>65</v>
      </c>
      <c r="M62" s="30" t="s">
        <v>33</v>
      </c>
      <c r="N62" s="30" t="s">
        <v>33</v>
      </c>
      <c r="O62" s="30"/>
      <c r="P62" s="30" t="s">
        <v>33</v>
      </c>
      <c r="Q62" s="30" t="s">
        <v>33</v>
      </c>
      <c r="R62" s="30"/>
      <c r="S62" s="30" t="s">
        <v>33</v>
      </c>
      <c r="T62" s="30" t="s">
        <v>33</v>
      </c>
      <c r="U62" s="30"/>
      <c r="V62" s="30" t="s">
        <v>33</v>
      </c>
      <c r="W62" s="30" t="s">
        <v>33</v>
      </c>
      <c r="X62" s="33" t="str">
        <f t="shared" si="6"/>
        <v>#REF!</v>
      </c>
      <c r="Y62" s="64" t="s">
        <v>206</v>
      </c>
      <c r="Z62" s="4"/>
      <c r="AA62" s="4"/>
      <c r="AB62" s="4"/>
      <c r="AC62" s="5"/>
    </row>
    <row r="63" ht="15.75" customHeight="1">
      <c r="A63" s="25">
        <f t="shared" si="7"/>
        <v>12</v>
      </c>
      <c r="B63" s="25">
        <f t="shared" si="8"/>
        <v>9</v>
      </c>
      <c r="C63" s="26" t="s">
        <v>64</v>
      </c>
      <c r="D63" s="27" t="s">
        <v>205</v>
      </c>
      <c r="E63" s="28" t="s">
        <v>19</v>
      </c>
      <c r="F63" s="28"/>
      <c r="G63" s="29" t="s">
        <v>163</v>
      </c>
      <c r="H63" s="30" t="s">
        <v>30</v>
      </c>
      <c r="I63" s="31" t="s">
        <v>92</v>
      </c>
      <c r="J63" s="32"/>
      <c r="K63" s="30" t="s">
        <v>30</v>
      </c>
      <c r="L63" s="30" t="s">
        <v>30</v>
      </c>
      <c r="M63" s="30" t="s">
        <v>30</v>
      </c>
      <c r="N63" s="30" t="s">
        <v>30</v>
      </c>
      <c r="O63" s="30" t="s">
        <v>30</v>
      </c>
      <c r="P63" s="30" t="s">
        <v>30</v>
      </c>
      <c r="Q63" s="30" t="s">
        <v>30</v>
      </c>
      <c r="R63" s="30" t="s">
        <v>30</v>
      </c>
      <c r="S63" s="30" t="s">
        <v>30</v>
      </c>
      <c r="T63" s="30" t="s">
        <v>30</v>
      </c>
      <c r="U63" s="30" t="s">
        <v>30</v>
      </c>
      <c r="V63" s="30" t="s">
        <v>30</v>
      </c>
      <c r="W63" s="30" t="s">
        <v>30</v>
      </c>
      <c r="X63" s="33" t="str">
        <f t="shared" si="6"/>
        <v>#REF!</v>
      </c>
      <c r="Y63" s="65" t="s">
        <v>219</v>
      </c>
      <c r="Z63" s="4"/>
      <c r="AA63" s="4"/>
      <c r="AB63" s="4"/>
      <c r="AC63" s="5"/>
    </row>
    <row r="64" ht="15.75" customHeight="1">
      <c r="A64" s="25">
        <f t="shared" si="7"/>
        <v>12</v>
      </c>
      <c r="B64" s="25">
        <f t="shared" si="8"/>
        <v>10</v>
      </c>
      <c r="C64" s="26" t="s">
        <v>84</v>
      </c>
      <c r="D64" s="27" t="s">
        <v>207</v>
      </c>
      <c r="E64" s="28" t="s">
        <v>19</v>
      </c>
      <c r="F64" s="28"/>
      <c r="G64" s="29" t="s">
        <v>49</v>
      </c>
      <c r="H64" s="30" t="s">
        <v>30</v>
      </c>
      <c r="I64" s="31" t="s">
        <v>92</v>
      </c>
      <c r="J64" s="32"/>
      <c r="K64" s="30" t="s">
        <v>30</v>
      </c>
      <c r="L64" s="30" t="s">
        <v>30</v>
      </c>
      <c r="M64" s="30" t="s">
        <v>30</v>
      </c>
      <c r="N64" s="30" t="s">
        <v>30</v>
      </c>
      <c r="O64" s="30" t="s">
        <v>30</v>
      </c>
      <c r="P64" s="30" t="s">
        <v>30</v>
      </c>
      <c r="Q64" s="30" t="s">
        <v>30</v>
      </c>
      <c r="R64" s="30" t="s">
        <v>30</v>
      </c>
      <c r="S64" s="30" t="s">
        <v>30</v>
      </c>
      <c r="T64" s="30" t="s">
        <v>30</v>
      </c>
      <c r="U64" s="30" t="s">
        <v>30</v>
      </c>
      <c r="V64" s="30" t="s">
        <v>30</v>
      </c>
      <c r="W64" s="30" t="s">
        <v>30</v>
      </c>
      <c r="X64" s="33" t="str">
        <f t="shared" si="6"/>
        <v>#REF!</v>
      </c>
      <c r="Y64" s="65"/>
      <c r="Z64" s="4"/>
      <c r="AA64" s="4"/>
      <c r="AB64" s="4"/>
      <c r="AC64" s="5"/>
    </row>
    <row r="65" ht="15.75" customHeight="1">
      <c r="A65" s="25">
        <f t="shared" si="7"/>
        <v>13</v>
      </c>
      <c r="B65" s="25">
        <f t="shared" si="8"/>
        <v>8</v>
      </c>
      <c r="C65" s="26" t="s">
        <v>54</v>
      </c>
      <c r="D65" s="27" t="s">
        <v>208</v>
      </c>
      <c r="E65" s="28" t="s">
        <v>41</v>
      </c>
      <c r="F65" s="28" t="s">
        <v>56</v>
      </c>
      <c r="G65" s="29" t="s">
        <v>71</v>
      </c>
      <c r="H65" s="30" t="s">
        <v>21</v>
      </c>
      <c r="I65" s="31" t="s">
        <v>95</v>
      </c>
      <c r="J65" s="32" t="s">
        <v>210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3" t="str">
        <f t="shared" si="6"/>
        <v>#REF!</v>
      </c>
      <c r="Y65" s="65"/>
      <c r="Z65" s="4"/>
      <c r="AA65" s="4"/>
      <c r="AB65" s="4"/>
      <c r="AC65" s="5"/>
    </row>
    <row r="66" ht="1.5" customHeight="1">
      <c r="A66" s="25">
        <f t="shared" si="7"/>
        <v>13</v>
      </c>
      <c r="B66" s="25">
        <f t="shared" si="8"/>
        <v>9</v>
      </c>
      <c r="C66" s="26" t="s">
        <v>64</v>
      </c>
      <c r="D66" s="27" t="s">
        <v>211</v>
      </c>
      <c r="E66" s="28" t="s">
        <v>61</v>
      </c>
      <c r="F66" s="28" t="s">
        <v>19</v>
      </c>
      <c r="G66" s="29" t="s">
        <v>62</v>
      </c>
      <c r="H66" s="30" t="s">
        <v>21</v>
      </c>
      <c r="I66" s="31" t="s">
        <v>95</v>
      </c>
      <c r="J66" s="32" t="s">
        <v>210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3" t="str">
        <f t="shared" si="6"/>
        <v>#REF!</v>
      </c>
      <c r="Y66" s="65"/>
      <c r="Z66" s="4"/>
      <c r="AA66" s="4"/>
      <c r="AB66" s="4"/>
      <c r="AC66" s="5"/>
    </row>
    <row r="67" ht="15.75" customHeight="1">
      <c r="A67" s="25">
        <f t="shared" si="7"/>
        <v>13</v>
      </c>
      <c r="B67" s="25">
        <f t="shared" si="8"/>
        <v>10</v>
      </c>
      <c r="C67" s="26" t="s">
        <v>84</v>
      </c>
      <c r="D67" s="27" t="s">
        <v>213</v>
      </c>
      <c r="E67" s="28" t="s">
        <v>19</v>
      </c>
      <c r="F67" s="28"/>
      <c r="G67" s="29" t="s">
        <v>49</v>
      </c>
      <c r="H67" s="42" t="s">
        <v>21</v>
      </c>
      <c r="I67" s="31" t="s">
        <v>95</v>
      </c>
      <c r="J67" s="32" t="s">
        <v>210</v>
      </c>
      <c r="K67" s="30"/>
      <c r="L67" s="42"/>
      <c r="M67" s="30"/>
      <c r="N67" s="30"/>
      <c r="O67" s="42"/>
      <c r="P67" s="30"/>
      <c r="Q67" s="30"/>
      <c r="R67" s="42"/>
      <c r="S67" s="30"/>
      <c r="T67" s="30"/>
      <c r="U67" s="42"/>
      <c r="V67" s="30"/>
      <c r="W67" s="42"/>
      <c r="X67" s="33" t="str">
        <f t="shared" si="6"/>
        <v>#REF!</v>
      </c>
      <c r="Y67" s="65"/>
      <c r="Z67" s="4"/>
      <c r="AA67" s="4"/>
      <c r="AB67" s="4"/>
      <c r="AC67" s="5"/>
    </row>
    <row r="68" ht="15.75" customHeight="1">
      <c r="A68" s="25">
        <f t="shared" si="7"/>
        <v>13</v>
      </c>
      <c r="B68" s="25">
        <f t="shared" si="8"/>
        <v>8</v>
      </c>
      <c r="C68" s="26" t="s">
        <v>54</v>
      </c>
      <c r="D68" s="27" t="s">
        <v>215</v>
      </c>
      <c r="E68" s="28" t="s">
        <v>41</v>
      </c>
      <c r="F68" s="28" t="s">
        <v>76</v>
      </c>
      <c r="G68" s="29" t="s">
        <v>71</v>
      </c>
      <c r="H68" s="30" t="s">
        <v>21</v>
      </c>
      <c r="I68" s="31" t="s">
        <v>95</v>
      </c>
      <c r="J68" s="32" t="s">
        <v>216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3" t="str">
        <f t="shared" si="6"/>
        <v>#REF!</v>
      </c>
      <c r="Y68" s="65"/>
      <c r="Z68" s="4"/>
      <c r="AA68" s="4"/>
      <c r="AB68" s="4"/>
      <c r="AC68" s="5"/>
    </row>
    <row r="69" ht="15.75" customHeight="1">
      <c r="A69" s="25">
        <f t="shared" si="7"/>
        <v>15</v>
      </c>
      <c r="B69" s="25">
        <f t="shared" si="8"/>
        <v>9</v>
      </c>
      <c r="C69" s="26" t="s">
        <v>64</v>
      </c>
      <c r="D69" s="27" t="s">
        <v>217</v>
      </c>
      <c r="E69" s="28" t="s">
        <v>61</v>
      </c>
      <c r="F69" s="28" t="s">
        <v>70</v>
      </c>
      <c r="G69" s="29" t="s">
        <v>20</v>
      </c>
      <c r="H69" s="30" t="s">
        <v>30</v>
      </c>
      <c r="I69" s="31" t="s">
        <v>101</v>
      </c>
      <c r="J69" s="32" t="s">
        <v>68</v>
      </c>
      <c r="K69" s="30" t="s">
        <v>30</v>
      </c>
      <c r="L69" s="30" t="s">
        <v>30</v>
      </c>
      <c r="M69" s="30" t="s">
        <v>30</v>
      </c>
      <c r="N69" s="30" t="s">
        <v>30</v>
      </c>
      <c r="O69" s="30" t="s">
        <v>30</v>
      </c>
      <c r="P69" s="30" t="s">
        <v>30</v>
      </c>
      <c r="Q69" s="30" t="s">
        <v>30</v>
      </c>
      <c r="R69" s="30" t="s">
        <v>30</v>
      </c>
      <c r="S69" s="30" t="s">
        <v>30</v>
      </c>
      <c r="T69" s="30" t="s">
        <v>30</v>
      </c>
      <c r="U69" s="30" t="s">
        <v>30</v>
      </c>
      <c r="V69" s="30" t="s">
        <v>30</v>
      </c>
      <c r="W69" s="30" t="s">
        <v>30</v>
      </c>
      <c r="X69" s="33" t="str">
        <f>SUM( (COUNTIF(K69,"A") + (COUNTIF(K69,"T")/2) + (COUNTIF(K69,"O")/2) )+ (COUNTIF(L69,"A") + (COUNTIF(L69,"T")/2) + (COUNTIF(L69,"O")/2) )+ (COUNTIF(M69,"A") + (COUNTIF(M69,"T")/2) + (COUNTIF(M69,"O")/2) )+ (COUNTIF(N69,"A") + (COUNTIF(N69,"T")/2) + (COUNTIF(N69,"O")/2) )+ (COUNTIF(#REF!,"A") + (COUNTIF(#REF!,"T")/2) + (COUNTIF(#REF!,"O")/2) )+ (COUNTIF(O69,"A") + (COUNTIF(O69,"T")/2) + (COUNTIF(O69,"O")/2) )+ (COUNTIF(Q69,"A") + (COUNTIF(Q69,"T")/2) + (COUNTIF(Q69,"O")/2) )+ (COUNTIF(R69,"A") + (COUNTIF(R69,"T")/2) + (COUNTIF(R69,"O")/2) )+ (COUNTIF(S69,"A") + (COUNTIF(S69,"T")/2) + (COUNTIF(S69,"O")/2) )+ (COUNTIF(#REF!,"A") + (COUNTIF(#REF!,"T")/2) + (COUNTIF(#REF!,"O")/2) )+ (COUNTIF(T69,"A") + (COUNTIF(T69,"T")/2) + (COUNTIF(T69,"O")/2) )+ (COUNTIF(U69,"A") + (COUNTIF(U69,"T")/2) + (COUNTIF(U69,"O")/2) )+ (COUNTIF(V69,"A") + (COUNTIF(V69,"T")/2) + (COUNTIF(V69,"O")/2) ) )/$X$1</f>
        <v>#REF!</v>
      </c>
      <c r="Y69" s="65"/>
      <c r="Z69" s="4"/>
      <c r="AA69" s="4"/>
      <c r="AB69" s="4"/>
      <c r="AC69" s="5"/>
    </row>
    <row r="70" ht="15.75" customHeight="1">
      <c r="A70" s="25">
        <f t="shared" si="7"/>
        <v>15</v>
      </c>
      <c r="B70" s="25">
        <f t="shared" si="8"/>
        <v>8</v>
      </c>
      <c r="C70" s="26" t="s">
        <v>54</v>
      </c>
      <c r="D70" s="27" t="s">
        <v>218</v>
      </c>
      <c r="E70" s="28" t="s">
        <v>41</v>
      </c>
      <c r="F70" s="28" t="s">
        <v>56</v>
      </c>
      <c r="G70" s="29" t="s">
        <v>71</v>
      </c>
      <c r="H70" s="30" t="s">
        <v>30</v>
      </c>
      <c r="I70" s="31" t="s">
        <v>101</v>
      </c>
      <c r="J70" s="32" t="s">
        <v>85</v>
      </c>
      <c r="K70" s="30" t="s">
        <v>30</v>
      </c>
      <c r="L70" s="30" t="s">
        <v>30</v>
      </c>
      <c r="M70" s="30" t="s">
        <v>30</v>
      </c>
      <c r="N70" s="30" t="s">
        <v>30</v>
      </c>
      <c r="O70" s="30" t="s">
        <v>30</v>
      </c>
      <c r="P70" s="30" t="s">
        <v>30</v>
      </c>
      <c r="Q70" s="30" t="s">
        <v>30</v>
      </c>
      <c r="R70" s="30" t="s">
        <v>30</v>
      </c>
      <c r="S70" s="30" t="s">
        <v>30</v>
      </c>
      <c r="T70" s="30" t="s">
        <v>30</v>
      </c>
      <c r="U70" s="30" t="s">
        <v>30</v>
      </c>
      <c r="V70" s="30" t="s">
        <v>30</v>
      </c>
      <c r="W70" s="30" t="s">
        <v>30</v>
      </c>
      <c r="X70" s="33" t="str">
        <f t="shared" ref="X70:X100" si="9">SUM( (COUNTIF(K70,"A") + (COUNTIF(K70,"T")/2) + (COUNTIF(K70,"O")/2) )+ (COUNTIF(L70,"A") + (COUNTIF(L70,"T")/2) + (COUNTIF(L70,"O")/2) )+ (COUNTIF(M70,"A") + (COUNTIF(M70,"T")/2) + (COUNTIF(M70,"O")/2) )+ (COUNTIF(N70,"A") + (COUNTIF(N70,"T")/2) + (COUNTIF(N70,"O")/2) )+ (COUNTIF(O70,"A") + (COUNTIF(O70,"T")/2) + (COUNTIF(O70,"O")/2) )+ (COUNTIF(P70,"A") + (COUNTIF(P70,"T")/2) + (COUNTIF(P70,"O")/2) )+ (COUNTIF(Q70,"A") + (COUNTIF(Q70,"T")/2) + (COUNTIF(Q70,"O")/2) )+ (COUNTIF(R70,"A") + (COUNTIF(R70,"T")/2) + (COUNTIF(R70,"O")/2) )+ (COUNTIF(S70,"A") + (COUNTIF(S70,"T")/2) + (COUNTIF(S70,"O")/2) )+ (COUNTIF(#REF!,"A") + (COUNTIF(#REF!,"T")/2) + (COUNTIF(#REF!,"O")/2) )+ (COUNTIF(T70,"A") + (COUNTIF(T70,"T")/2) + (COUNTIF(T70,"O")/2) )+ (COUNTIF(U70,"A") + (COUNTIF(U70,"T")/2) + (COUNTIF(U70,"O")/2) )+ (COUNTIF(V70,"A") + (COUNTIF(V70,"T")/2) + (COUNTIF(V70,"O")/2) ) )/$X$1</f>
        <v>#REF!</v>
      </c>
      <c r="Y70" s="65"/>
      <c r="Z70" s="4"/>
      <c r="AA70" s="4"/>
      <c r="AB70" s="4"/>
      <c r="AC70" s="5"/>
    </row>
    <row r="71" ht="15.75" customHeight="1">
      <c r="A71" s="25">
        <f t="shared" si="7"/>
        <v>15</v>
      </c>
      <c r="B71" s="25">
        <f t="shared" si="8"/>
        <v>10</v>
      </c>
      <c r="C71" s="26" t="s">
        <v>84</v>
      </c>
      <c r="D71" s="27" t="s">
        <v>220</v>
      </c>
      <c r="E71" s="28" t="s">
        <v>19</v>
      </c>
      <c r="F71" s="28" t="s">
        <v>41</v>
      </c>
      <c r="G71" s="29" t="s">
        <v>49</v>
      </c>
      <c r="H71" s="30" t="s">
        <v>30</v>
      </c>
      <c r="I71" s="31" t="s">
        <v>101</v>
      </c>
      <c r="J71" s="32" t="s">
        <v>85</v>
      </c>
      <c r="K71" s="30" t="s">
        <v>30</v>
      </c>
      <c r="L71" s="30" t="s">
        <v>30</v>
      </c>
      <c r="M71" s="30" t="s">
        <v>30</v>
      </c>
      <c r="N71" s="30" t="s">
        <v>30</v>
      </c>
      <c r="O71" s="30" t="s">
        <v>30</v>
      </c>
      <c r="P71" s="30" t="s">
        <v>30</v>
      </c>
      <c r="Q71" s="30" t="s">
        <v>30</v>
      </c>
      <c r="R71" s="30" t="s">
        <v>30</v>
      </c>
      <c r="S71" s="30" t="s">
        <v>30</v>
      </c>
      <c r="T71" s="30" t="s">
        <v>30</v>
      </c>
      <c r="U71" s="30" t="s">
        <v>30</v>
      </c>
      <c r="V71" s="30" t="s">
        <v>30</v>
      </c>
      <c r="W71" s="30" t="s">
        <v>30</v>
      </c>
      <c r="X71" s="33" t="str">
        <f t="shared" si="9"/>
        <v>#REF!</v>
      </c>
      <c r="Y71" s="47"/>
      <c r="Z71" s="47"/>
      <c r="AA71" s="48"/>
      <c r="AB71" s="1"/>
      <c r="AC71" s="1"/>
    </row>
    <row r="72" ht="15.75" customHeight="1">
      <c r="A72" s="25">
        <f t="shared" si="7"/>
        <v>15</v>
      </c>
      <c r="B72" s="25">
        <f t="shared" si="8"/>
        <v>11</v>
      </c>
      <c r="C72" s="26" t="s">
        <v>79</v>
      </c>
      <c r="D72" s="27" t="s">
        <v>221</v>
      </c>
      <c r="E72" s="28" t="s">
        <v>19</v>
      </c>
      <c r="F72" s="28"/>
      <c r="G72" s="29" t="s">
        <v>62</v>
      </c>
      <c r="H72" s="30" t="s">
        <v>30</v>
      </c>
      <c r="I72" s="31" t="s">
        <v>101</v>
      </c>
      <c r="J72" s="32" t="s">
        <v>85</v>
      </c>
      <c r="K72" s="30" t="s">
        <v>30</v>
      </c>
      <c r="L72" s="30" t="s">
        <v>30</v>
      </c>
      <c r="M72" s="30" t="s">
        <v>30</v>
      </c>
      <c r="N72" s="30" t="s">
        <v>30</v>
      </c>
      <c r="O72" s="30" t="s">
        <v>30</v>
      </c>
      <c r="P72" s="30" t="s">
        <v>30</v>
      </c>
      <c r="Q72" s="30" t="s">
        <v>30</v>
      </c>
      <c r="R72" s="30" t="s">
        <v>30</v>
      </c>
      <c r="S72" s="30" t="s">
        <v>30</v>
      </c>
      <c r="T72" s="30" t="s">
        <v>30</v>
      </c>
      <c r="U72" s="30" t="s">
        <v>30</v>
      </c>
      <c r="V72" s="30" t="s">
        <v>30</v>
      </c>
      <c r="W72" s="30" t="s">
        <v>30</v>
      </c>
      <c r="X72" s="33" t="str">
        <f t="shared" si="9"/>
        <v>#REF!</v>
      </c>
      <c r="Y72" s="47"/>
      <c r="Z72" s="47"/>
      <c r="AA72" s="48"/>
      <c r="AB72" s="1"/>
      <c r="AC72" s="1"/>
    </row>
    <row r="73" ht="15.75" customHeight="1">
      <c r="A73" s="25">
        <f t="shared" si="7"/>
        <v>15</v>
      </c>
      <c r="B73" s="25">
        <f t="shared" si="8"/>
        <v>11</v>
      </c>
      <c r="C73" s="53" t="s">
        <v>79</v>
      </c>
      <c r="D73" s="54" t="s">
        <v>223</v>
      </c>
      <c r="E73" s="28" t="s">
        <v>19</v>
      </c>
      <c r="F73" s="28" t="s">
        <v>56</v>
      </c>
      <c r="G73" s="29" t="s">
        <v>71</v>
      </c>
      <c r="H73" s="30" t="s">
        <v>21</v>
      </c>
      <c r="I73" s="31" t="s">
        <v>224</v>
      </c>
      <c r="J73" s="32"/>
      <c r="K73" s="30" t="s">
        <v>21</v>
      </c>
      <c r="L73" s="30"/>
      <c r="M73" s="30" t="s">
        <v>21</v>
      </c>
      <c r="N73" s="30" t="s">
        <v>21</v>
      </c>
      <c r="O73" s="30"/>
      <c r="P73" s="30" t="s">
        <v>24</v>
      </c>
      <c r="Q73" s="30" t="s">
        <v>21</v>
      </c>
      <c r="R73" s="30"/>
      <c r="S73" s="30" t="s">
        <v>24</v>
      </c>
      <c r="T73" s="30" t="s">
        <v>21</v>
      </c>
      <c r="U73" s="30"/>
      <c r="V73" s="30" t="s">
        <v>33</v>
      </c>
      <c r="W73" s="30" t="s">
        <v>21</v>
      </c>
      <c r="X73" s="33" t="str">
        <f t="shared" si="9"/>
        <v>#REF!</v>
      </c>
      <c r="Y73" s="47"/>
      <c r="Z73" s="47"/>
      <c r="AA73" s="48"/>
      <c r="AB73" s="1"/>
      <c r="AC73" s="1"/>
    </row>
    <row r="74" ht="15.75" customHeight="1">
      <c r="A74" s="25">
        <f t="shared" si="7"/>
        <v>15</v>
      </c>
      <c r="B74" s="25">
        <f t="shared" si="8"/>
        <v>11</v>
      </c>
      <c r="C74" s="53" t="s">
        <v>79</v>
      </c>
      <c r="D74" s="54" t="s">
        <v>225</v>
      </c>
      <c r="E74" s="28" t="s">
        <v>19</v>
      </c>
      <c r="F74" s="28" t="s">
        <v>61</v>
      </c>
      <c r="G74" s="29" t="s">
        <v>149</v>
      </c>
      <c r="H74" s="30" t="s">
        <v>21</v>
      </c>
      <c r="I74" s="31" t="s">
        <v>224</v>
      </c>
      <c r="J74" s="32"/>
      <c r="K74" s="30" t="s">
        <v>21</v>
      </c>
      <c r="L74" s="30"/>
      <c r="M74" s="30" t="s">
        <v>21</v>
      </c>
      <c r="N74" s="30" t="s">
        <v>24</v>
      </c>
      <c r="O74" s="30"/>
      <c r="P74" s="30" t="s">
        <v>21</v>
      </c>
      <c r="Q74" s="30" t="s">
        <v>24</v>
      </c>
      <c r="R74" s="30"/>
      <c r="S74" s="30" t="s">
        <v>24</v>
      </c>
      <c r="T74" s="30" t="s">
        <v>24</v>
      </c>
      <c r="U74" s="30" t="s">
        <v>30</v>
      </c>
      <c r="V74" s="30" t="s">
        <v>30</v>
      </c>
      <c r="W74" s="30" t="s">
        <v>30</v>
      </c>
      <c r="X74" s="33" t="str">
        <f t="shared" si="9"/>
        <v>#REF!</v>
      </c>
      <c r="Y74" s="47"/>
      <c r="Z74" s="47"/>
      <c r="AA74" s="48"/>
      <c r="AB74" s="1"/>
      <c r="AC74" s="1"/>
    </row>
    <row r="75" ht="15.75" customHeight="1">
      <c r="A75" s="25">
        <f t="shared" si="7"/>
        <v>15</v>
      </c>
      <c r="B75" s="25">
        <f t="shared" si="8"/>
        <v>9</v>
      </c>
      <c r="C75" s="26" t="s">
        <v>64</v>
      </c>
      <c r="D75" s="66" t="s">
        <v>226</v>
      </c>
      <c r="E75" s="28" t="s">
        <v>56</v>
      </c>
      <c r="F75" s="28" t="s">
        <v>19</v>
      </c>
      <c r="G75" s="29" t="s">
        <v>227</v>
      </c>
      <c r="H75" s="30" t="s">
        <v>30</v>
      </c>
      <c r="I75" s="31" t="s">
        <v>101</v>
      </c>
      <c r="J75" s="32"/>
      <c r="K75" s="30" t="s">
        <v>30</v>
      </c>
      <c r="L75" s="30" t="s">
        <v>30</v>
      </c>
      <c r="M75" s="30" t="s">
        <v>30</v>
      </c>
      <c r="N75" s="30" t="s">
        <v>30</v>
      </c>
      <c r="O75" s="30" t="s">
        <v>30</v>
      </c>
      <c r="P75" s="30" t="s">
        <v>30</v>
      </c>
      <c r="Q75" s="30" t="s">
        <v>30</v>
      </c>
      <c r="R75" s="30" t="s">
        <v>30</v>
      </c>
      <c r="S75" s="30" t="s">
        <v>30</v>
      </c>
      <c r="T75" s="30" t="s">
        <v>30</v>
      </c>
      <c r="U75" s="30" t="s">
        <v>30</v>
      </c>
      <c r="V75" s="30" t="s">
        <v>30</v>
      </c>
      <c r="W75" s="30" t="s">
        <v>30</v>
      </c>
      <c r="X75" s="33" t="str">
        <f t="shared" si="9"/>
        <v>#REF!</v>
      </c>
      <c r="Y75" s="47"/>
      <c r="Z75" s="47"/>
      <c r="AA75" s="48"/>
      <c r="AB75" s="1"/>
      <c r="AC75" s="1"/>
    </row>
    <row r="76" ht="15.75" customHeight="1">
      <c r="A76" s="25">
        <f t="shared" si="7"/>
        <v>15</v>
      </c>
      <c r="B76" s="25">
        <f t="shared" si="8"/>
        <v>10</v>
      </c>
      <c r="C76" s="67" t="s">
        <v>84</v>
      </c>
      <c r="D76" s="68" t="s">
        <v>228</v>
      </c>
      <c r="E76" s="28" t="s">
        <v>61</v>
      </c>
      <c r="F76" s="28" t="s">
        <v>19</v>
      </c>
      <c r="G76" s="29" t="s">
        <v>71</v>
      </c>
      <c r="H76" s="30" t="s">
        <v>30</v>
      </c>
      <c r="I76" s="31" t="s">
        <v>101</v>
      </c>
      <c r="J76" s="32"/>
      <c r="K76" s="30" t="s">
        <v>30</v>
      </c>
      <c r="L76" s="30" t="s">
        <v>30</v>
      </c>
      <c r="M76" s="30" t="s">
        <v>30</v>
      </c>
      <c r="N76" s="30" t="s">
        <v>30</v>
      </c>
      <c r="O76" s="30" t="s">
        <v>30</v>
      </c>
      <c r="P76" s="30" t="s">
        <v>30</v>
      </c>
      <c r="Q76" s="30" t="s">
        <v>30</v>
      </c>
      <c r="R76" s="30" t="s">
        <v>30</v>
      </c>
      <c r="S76" s="30" t="s">
        <v>30</v>
      </c>
      <c r="T76" s="30" t="s">
        <v>30</v>
      </c>
      <c r="U76" s="30" t="s">
        <v>30</v>
      </c>
      <c r="V76" s="30" t="s">
        <v>30</v>
      </c>
      <c r="W76" s="30" t="s">
        <v>30</v>
      </c>
      <c r="X76" s="33" t="str">
        <f t="shared" si="9"/>
        <v>#REF!</v>
      </c>
      <c r="Y76" s="47"/>
      <c r="Z76" s="47"/>
      <c r="AA76" s="48"/>
      <c r="AB76" s="1"/>
      <c r="AC76" s="1"/>
    </row>
    <row r="77" ht="15.75" customHeight="1">
      <c r="A77" s="25">
        <f t="shared" si="7"/>
        <v>15</v>
      </c>
      <c r="B77" s="25">
        <f t="shared" si="8"/>
        <v>15</v>
      </c>
      <c r="C77" s="67"/>
      <c r="D77" s="68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63"/>
      <c r="Q77" s="30"/>
      <c r="R77" s="30"/>
      <c r="S77" s="30"/>
      <c r="T77" s="30"/>
      <c r="U77" s="30"/>
      <c r="V77" s="30"/>
      <c r="W77" s="30"/>
      <c r="X77" s="33" t="str">
        <f t="shared" si="9"/>
        <v>#REF!</v>
      </c>
      <c r="Y77" s="47"/>
      <c r="Z77" s="47"/>
      <c r="AA77" s="48"/>
      <c r="AB77" s="1"/>
      <c r="AC77" s="1"/>
    </row>
    <row r="78" ht="15.75" customHeight="1">
      <c r="A78" s="25">
        <f t="shared" si="7"/>
        <v>15</v>
      </c>
      <c r="B78" s="25">
        <f t="shared" si="8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3" t="str">
        <f t="shared" si="9"/>
        <v>#REF!</v>
      </c>
      <c r="Y78" s="47"/>
      <c r="Z78" s="47"/>
      <c r="AA78" s="48"/>
      <c r="AB78" s="1"/>
      <c r="AC78" s="1"/>
    </row>
    <row r="79" ht="15.75" customHeight="1">
      <c r="A79" s="25">
        <f t="shared" si="7"/>
        <v>15</v>
      </c>
      <c r="B79" s="25">
        <f t="shared" si="8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3" t="str">
        <f t="shared" si="9"/>
        <v>#REF!</v>
      </c>
      <c r="Y79" s="47"/>
      <c r="Z79" s="47"/>
      <c r="AA79" s="48"/>
      <c r="AB79" s="1"/>
      <c r="AC79" s="1"/>
    </row>
    <row r="80" ht="15.75" customHeight="1">
      <c r="A80" s="25">
        <f t="shared" si="7"/>
        <v>15</v>
      </c>
      <c r="B80" s="25">
        <f t="shared" si="8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3" t="str">
        <f t="shared" si="9"/>
        <v>#REF!</v>
      </c>
      <c r="Y80" s="47"/>
      <c r="Z80" s="47"/>
      <c r="AA80" s="48"/>
      <c r="AB80" s="1"/>
      <c r="AC80" s="1"/>
    </row>
    <row r="81" ht="15.75" customHeight="1">
      <c r="A81" s="25">
        <f t="shared" si="7"/>
        <v>15</v>
      </c>
      <c r="B81" s="25">
        <f t="shared" si="8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3" t="str">
        <f t="shared" si="9"/>
        <v>#REF!</v>
      </c>
      <c r="Y81" s="47"/>
      <c r="Z81" s="47"/>
      <c r="AA81" s="48"/>
      <c r="AB81" s="1"/>
      <c r="AC81" s="1"/>
    </row>
    <row r="82" ht="15.75" customHeight="1">
      <c r="A82" s="25">
        <f t="shared" si="7"/>
        <v>15</v>
      </c>
      <c r="B82" s="25">
        <f t="shared" si="8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3" t="str">
        <f t="shared" si="9"/>
        <v>#REF!</v>
      </c>
      <c r="Y82" s="47"/>
      <c r="Z82" s="47"/>
      <c r="AA82" s="48"/>
      <c r="AB82" s="1"/>
      <c r="AC82" s="1"/>
    </row>
    <row r="83" ht="15.75" customHeight="1">
      <c r="A83" s="25">
        <f t="shared" si="7"/>
        <v>15</v>
      </c>
      <c r="B83" s="25">
        <f t="shared" si="8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3" t="str">
        <f t="shared" si="9"/>
        <v>#REF!</v>
      </c>
      <c r="Y83" s="47"/>
      <c r="Z83" s="47"/>
      <c r="AA83" s="48"/>
      <c r="AB83" s="1"/>
      <c r="AC83" s="1"/>
    </row>
    <row r="84" ht="15.75" customHeight="1">
      <c r="A84" s="25">
        <f t="shared" si="7"/>
        <v>15</v>
      </c>
      <c r="B84" s="25">
        <f t="shared" si="8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3" t="str">
        <f t="shared" si="9"/>
        <v>#REF!</v>
      </c>
      <c r="Y84" s="47"/>
      <c r="Z84" s="47"/>
      <c r="AA84" s="48"/>
      <c r="AB84" s="1"/>
      <c r="AC84" s="1"/>
    </row>
    <row r="85" ht="15.75" customHeight="1">
      <c r="A85" s="25">
        <f t="shared" si="7"/>
        <v>15</v>
      </c>
      <c r="B85" s="25">
        <f t="shared" si="8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3" t="str">
        <f t="shared" si="9"/>
        <v>#REF!</v>
      </c>
      <c r="Y85" s="47"/>
      <c r="Z85" s="47"/>
      <c r="AA85" s="48"/>
      <c r="AB85" s="1"/>
      <c r="AC85" s="1"/>
    </row>
    <row r="86" ht="15.75" customHeight="1">
      <c r="A86" s="25">
        <f t="shared" si="7"/>
        <v>15</v>
      </c>
      <c r="B86" s="25">
        <f t="shared" si="8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3" t="str">
        <f t="shared" si="9"/>
        <v>#REF!</v>
      </c>
      <c r="Y86" s="47"/>
      <c r="Z86" s="47"/>
      <c r="AA86" s="48"/>
      <c r="AB86" s="1"/>
      <c r="AC86" s="1"/>
    </row>
    <row r="87" ht="15.75" customHeight="1">
      <c r="A87" s="25">
        <f t="shared" si="7"/>
        <v>15</v>
      </c>
      <c r="B87" s="25">
        <f t="shared" si="8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3" t="str">
        <f t="shared" si="9"/>
        <v>#REF!</v>
      </c>
      <c r="Y87" s="47"/>
      <c r="Z87" s="47"/>
      <c r="AA87" s="48"/>
      <c r="AB87" s="1"/>
      <c r="AC87" s="1"/>
    </row>
    <row r="88" ht="15.75" customHeight="1">
      <c r="A88" s="25">
        <f t="shared" si="7"/>
        <v>15</v>
      </c>
      <c r="B88" s="25">
        <f t="shared" si="8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3" t="str">
        <f t="shared" si="9"/>
        <v>#REF!</v>
      </c>
      <c r="Y88" s="47"/>
      <c r="Z88" s="47"/>
      <c r="AA88" s="48"/>
      <c r="AB88" s="1"/>
      <c r="AC88" s="1"/>
    </row>
    <row r="89" ht="15.75" customHeight="1">
      <c r="A89" s="25">
        <f t="shared" si="7"/>
        <v>15</v>
      </c>
      <c r="B89" s="25">
        <f t="shared" si="8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3" t="str">
        <f t="shared" si="9"/>
        <v>#REF!</v>
      </c>
      <c r="Y89" s="47"/>
      <c r="Z89" s="47"/>
      <c r="AA89" s="48"/>
      <c r="AB89" s="1"/>
      <c r="AC89" s="1"/>
    </row>
    <row r="90" ht="15.75" customHeight="1">
      <c r="A90" s="25">
        <f t="shared" si="7"/>
        <v>15</v>
      </c>
      <c r="B90" s="25">
        <f t="shared" si="8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3" t="str">
        <f t="shared" si="9"/>
        <v>#REF!</v>
      </c>
      <c r="Y90" s="47"/>
      <c r="Z90" s="47"/>
      <c r="AA90" s="48"/>
      <c r="AB90" s="1"/>
      <c r="AC90" s="1"/>
    </row>
    <row r="91" ht="15.75" customHeight="1">
      <c r="A91" s="25">
        <f t="shared" si="7"/>
        <v>15</v>
      </c>
      <c r="B91" s="25">
        <f t="shared" si="8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3" t="str">
        <f t="shared" si="9"/>
        <v>#REF!</v>
      </c>
      <c r="Y91" s="47"/>
      <c r="Z91" s="47"/>
      <c r="AA91" s="48"/>
      <c r="AB91" s="1"/>
      <c r="AC91" s="1"/>
    </row>
    <row r="92" ht="15.75" customHeight="1">
      <c r="A92" s="25">
        <f t="shared" si="7"/>
        <v>15</v>
      </c>
      <c r="B92" s="25">
        <f t="shared" si="8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3" t="str">
        <f t="shared" si="9"/>
        <v>#REF!</v>
      </c>
      <c r="Y92" s="47"/>
      <c r="Z92" s="47"/>
      <c r="AA92" s="48"/>
      <c r="AB92" s="1"/>
      <c r="AC92" s="1"/>
    </row>
    <row r="93" ht="15.75" customHeight="1">
      <c r="A93" s="25">
        <f t="shared" si="7"/>
        <v>15</v>
      </c>
      <c r="B93" s="25">
        <f t="shared" si="8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3" t="str">
        <f t="shared" si="9"/>
        <v>#REF!</v>
      </c>
      <c r="Y93" s="47"/>
      <c r="Z93" s="47"/>
      <c r="AA93" s="48"/>
      <c r="AB93" s="1"/>
      <c r="AC93" s="1"/>
    </row>
    <row r="94" ht="15.75" customHeight="1">
      <c r="A94" s="25">
        <f t="shared" si="7"/>
        <v>15</v>
      </c>
      <c r="B94" s="25">
        <f t="shared" si="8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3" t="str">
        <f t="shared" si="9"/>
        <v>#REF!</v>
      </c>
      <c r="Y94" s="47"/>
      <c r="Z94" s="47"/>
      <c r="AA94" s="48"/>
      <c r="AB94" s="1"/>
      <c r="AC94" s="1"/>
    </row>
    <row r="95" ht="15.75" customHeight="1">
      <c r="A95" s="25">
        <f t="shared" si="7"/>
        <v>15</v>
      </c>
      <c r="B95" s="25">
        <f t="shared" si="8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3" t="str">
        <f t="shared" si="9"/>
        <v>#REF!</v>
      </c>
      <c r="Y95" s="47"/>
      <c r="Z95" s="47"/>
      <c r="AA95" s="48"/>
      <c r="AB95" s="1"/>
      <c r="AC95" s="1"/>
    </row>
    <row r="96" ht="15.75" customHeight="1">
      <c r="A96" s="25">
        <f t="shared" si="7"/>
        <v>15</v>
      </c>
      <c r="B96" s="25">
        <f t="shared" si="8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3" t="str">
        <f t="shared" si="9"/>
        <v>#REF!</v>
      </c>
      <c r="Y96" s="47"/>
      <c r="Z96" s="47"/>
      <c r="AA96" s="48"/>
      <c r="AB96" s="1"/>
      <c r="AC96" s="1"/>
    </row>
    <row r="97" ht="15.75" customHeight="1">
      <c r="A97" s="25">
        <f t="shared" si="7"/>
        <v>15</v>
      </c>
      <c r="B97" s="25">
        <f t="shared" si="8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3" t="str">
        <f t="shared" si="9"/>
        <v>#REF!</v>
      </c>
      <c r="Y97" s="47"/>
      <c r="Z97" s="47"/>
      <c r="AA97" s="48"/>
      <c r="AB97" s="1"/>
      <c r="AC97" s="1"/>
    </row>
    <row r="98" ht="15.75" customHeight="1">
      <c r="A98" s="25">
        <f t="shared" si="7"/>
        <v>15</v>
      </c>
      <c r="B98" s="25">
        <f t="shared" si="8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3" t="str">
        <f t="shared" si="9"/>
        <v>#REF!</v>
      </c>
      <c r="Y98" s="47"/>
      <c r="Z98" s="47"/>
      <c r="AA98" s="48"/>
      <c r="AB98" s="1"/>
      <c r="AC98" s="1"/>
    </row>
    <row r="99" ht="15.75" customHeight="1">
      <c r="A99" s="25">
        <f t="shared" si="7"/>
        <v>15</v>
      </c>
      <c r="B99" s="25">
        <f t="shared" si="8"/>
        <v>15</v>
      </c>
      <c r="C99" s="26"/>
      <c r="D99" s="27"/>
      <c r="E99" s="28"/>
      <c r="F99" s="28"/>
      <c r="G99" s="29"/>
      <c r="H99" s="30"/>
      <c r="I99" s="31"/>
      <c r="J99" s="32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3" t="str">
        <f t="shared" si="9"/>
        <v>#REF!</v>
      </c>
      <c r="Y99" s="47"/>
      <c r="Z99" s="47"/>
      <c r="AA99" s="48"/>
      <c r="AB99" s="1"/>
      <c r="AC99" s="1"/>
    </row>
    <row r="100" ht="15.75" customHeight="1">
      <c r="A100" s="25">
        <f t="shared" si="7"/>
        <v>15</v>
      </c>
      <c r="B100" s="25">
        <f t="shared" si="8"/>
        <v>15</v>
      </c>
      <c r="C100" s="26"/>
      <c r="D100" s="27"/>
      <c r="E100" s="28"/>
      <c r="F100" s="28"/>
      <c r="G100" s="29"/>
      <c r="H100" s="30"/>
      <c r="I100" s="31"/>
      <c r="J100" s="32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3" t="str">
        <f t="shared" si="9"/>
        <v>#REF!</v>
      </c>
      <c r="Y100" s="47"/>
      <c r="Z100" s="47"/>
      <c r="AA100" s="48"/>
      <c r="AB100" s="1"/>
      <c r="AC100" s="1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1" t="s">
        <v>229</v>
      </c>
      <c r="K101" s="72">
        <f t="shared" ref="K101:W101" si="10">SUM(COUNTIF(K3:K100,"A") + COUNTIF(K3:K100,"T") + (COUNTIF(K3:K100,"O")/2))</f>
        <v>27</v>
      </c>
      <c r="L101" s="72">
        <f t="shared" si="10"/>
        <v>0</v>
      </c>
      <c r="M101" s="72">
        <f t="shared" si="10"/>
        <v>26</v>
      </c>
      <c r="N101" s="72">
        <f t="shared" si="10"/>
        <v>29</v>
      </c>
      <c r="O101" s="72">
        <f t="shared" si="10"/>
        <v>10</v>
      </c>
      <c r="P101" s="72">
        <f t="shared" si="10"/>
        <v>28</v>
      </c>
      <c r="Q101" s="72">
        <f t="shared" si="10"/>
        <v>28</v>
      </c>
      <c r="R101" s="72">
        <f t="shared" si="10"/>
        <v>0</v>
      </c>
      <c r="S101" s="72">
        <f t="shared" si="10"/>
        <v>23</v>
      </c>
      <c r="T101" s="72">
        <f t="shared" si="10"/>
        <v>16</v>
      </c>
      <c r="U101" s="72">
        <f t="shared" si="10"/>
        <v>0</v>
      </c>
      <c r="V101" s="72">
        <f t="shared" si="10"/>
        <v>16</v>
      </c>
      <c r="W101" s="72">
        <f t="shared" si="10"/>
        <v>16</v>
      </c>
      <c r="X101" s="73">
        <f t="shared" ref="X101:X103" si="12">AVERAGE(K101,L101,N101,O101,P101,Q101,R101,T101,U101,W101)</f>
        <v>15.4</v>
      </c>
      <c r="Y101" s="74" t="s">
        <v>230</v>
      </c>
      <c r="Z101" s="42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75" t="s">
        <v>231</v>
      </c>
      <c r="K102" s="76">
        <f t="shared" ref="K102:W102" si="11">SUM(COUNTIF(K3:K100,"J"))</f>
        <v>9</v>
      </c>
      <c r="L102" s="76">
        <f t="shared" si="11"/>
        <v>0</v>
      </c>
      <c r="M102" s="76">
        <f t="shared" si="11"/>
        <v>7</v>
      </c>
      <c r="N102" s="76">
        <f t="shared" si="11"/>
        <v>6</v>
      </c>
      <c r="O102" s="76">
        <f t="shared" si="11"/>
        <v>2</v>
      </c>
      <c r="P102" s="76">
        <f t="shared" si="11"/>
        <v>6</v>
      </c>
      <c r="Q102" s="76">
        <f t="shared" si="11"/>
        <v>6</v>
      </c>
      <c r="R102" s="76">
        <f t="shared" si="11"/>
        <v>0</v>
      </c>
      <c r="S102" s="76">
        <f t="shared" si="11"/>
        <v>9</v>
      </c>
      <c r="T102" s="76">
        <f t="shared" si="11"/>
        <v>7</v>
      </c>
      <c r="U102" s="76">
        <f t="shared" si="11"/>
        <v>0</v>
      </c>
      <c r="V102" s="76">
        <f t="shared" si="11"/>
        <v>4</v>
      </c>
      <c r="W102" s="76">
        <f t="shared" si="11"/>
        <v>6</v>
      </c>
      <c r="X102" s="77">
        <f t="shared" si="12"/>
        <v>4.2</v>
      </c>
      <c r="Y102" s="74" t="s">
        <v>232</v>
      </c>
      <c r="Z102" s="42"/>
      <c r="AA102" s="47"/>
      <c r="AB102" s="47"/>
      <c r="AC102" s="47"/>
    </row>
    <row r="103" ht="15.75" customHeight="1">
      <c r="A103" s="69"/>
      <c r="B103" s="69"/>
      <c r="C103" s="2"/>
      <c r="D103" s="47"/>
      <c r="E103" s="70"/>
      <c r="F103" s="70"/>
      <c r="G103" s="70"/>
      <c r="H103" s="70"/>
      <c r="I103" s="44"/>
      <c r="J103" s="78" t="s">
        <v>233</v>
      </c>
      <c r="K103" s="79">
        <f t="shared" ref="K103:W103" si="13">SUM(COUNTIF(K3:K100,"F"))</f>
        <v>3</v>
      </c>
      <c r="L103" s="79">
        <f t="shared" si="13"/>
        <v>0</v>
      </c>
      <c r="M103" s="79">
        <f t="shared" si="13"/>
        <v>4</v>
      </c>
      <c r="N103" s="79">
        <f t="shared" si="13"/>
        <v>3</v>
      </c>
      <c r="O103" s="79">
        <f t="shared" si="13"/>
        <v>0</v>
      </c>
      <c r="P103" s="79">
        <f t="shared" si="13"/>
        <v>3</v>
      </c>
      <c r="Q103" s="79">
        <f t="shared" si="13"/>
        <v>3</v>
      </c>
      <c r="R103" s="79">
        <f t="shared" si="13"/>
        <v>0</v>
      </c>
      <c r="S103" s="79">
        <f t="shared" si="13"/>
        <v>3</v>
      </c>
      <c r="T103" s="79">
        <f t="shared" si="13"/>
        <v>3</v>
      </c>
      <c r="U103" s="79">
        <f t="shared" si="13"/>
        <v>0</v>
      </c>
      <c r="V103" s="79">
        <f t="shared" si="13"/>
        <v>4</v>
      </c>
      <c r="W103" s="79">
        <f t="shared" si="13"/>
        <v>3</v>
      </c>
      <c r="X103" s="80">
        <f t="shared" si="12"/>
        <v>1.8</v>
      </c>
      <c r="Y103" s="81" t="s">
        <v>234</v>
      </c>
      <c r="Z103" s="5"/>
      <c r="AA103" s="47"/>
      <c r="AB103" s="47"/>
      <c r="AC103" s="47"/>
    </row>
    <row r="104" ht="15.75" customHeight="1">
      <c r="A104" s="69"/>
      <c r="B104" s="69"/>
      <c r="C104" s="2"/>
      <c r="D104" s="47"/>
      <c r="E104" s="70"/>
      <c r="F104" s="70"/>
      <c r="G104" s="70"/>
      <c r="H104" s="70"/>
      <c r="I104" s="44"/>
      <c r="J104" s="82" t="s">
        <v>235</v>
      </c>
      <c r="K104" s="84">
        <f>(COUNTIF(K3:K100,"A") + COUNTIF(K3:K100,"T") + COUNTIF(K3:K100,"F") + COUNTIF(K3:K100,"J"))</f>
        <v>39</v>
      </c>
      <c r="L104" s="83"/>
      <c r="M104" s="84">
        <f t="shared" ref="M104:N104" si="14">(COUNTIF(M3:M100,"A") + COUNTIF(M3:M100,"T") + COUNTIF(M3:M100,"F") + COUNTIF(M3:M100,"J"))</f>
        <v>37</v>
      </c>
      <c r="N104" s="84">
        <f t="shared" si="14"/>
        <v>38</v>
      </c>
      <c r="O104" s="83"/>
      <c r="P104" s="84">
        <f t="shared" ref="P104:Q104" si="15">(COUNTIF(P3:P100,"A") + COUNTIF(P3:P100,"T") + COUNTIF(P3:P100,"F") + COUNTIF(P3:P100,"J"))</f>
        <v>37</v>
      </c>
      <c r="Q104" s="84">
        <f t="shared" si="15"/>
        <v>37</v>
      </c>
      <c r="R104" s="83"/>
      <c r="S104" s="84">
        <f t="shared" ref="S104:T104" si="16">(COUNTIF(S3:S100,"A") + COUNTIF(S3:S100,"T") + COUNTIF(S3:S100,"F") + COUNTIF(S3:S100,"J"))</f>
        <v>35</v>
      </c>
      <c r="T104" s="84">
        <f t="shared" si="16"/>
        <v>26</v>
      </c>
      <c r="U104" s="83"/>
      <c r="V104" s="84">
        <f t="shared" ref="V104:W104" si="17">(COUNTIF(V3:V100,"A") + COUNTIF(V3:V100,"T") + COUNTIF(V3:V100,"F") + COUNTIF(V3:V100,"J"))</f>
        <v>24</v>
      </c>
      <c r="W104" s="84">
        <f t="shared" si="17"/>
        <v>25</v>
      </c>
      <c r="X104" s="85">
        <f>AVERAGE(K104,L104,N104,O104,Q104,R104,T104,U104,W104)</f>
        <v>33</v>
      </c>
      <c r="Y104" s="81" t="s">
        <v>236</v>
      </c>
      <c r="Z104" s="5"/>
      <c r="AA104" s="47"/>
      <c r="AB104" s="47"/>
      <c r="AC104" s="47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100"/>
  <mergeCells count="39">
    <mergeCell ref="C1:I1"/>
    <mergeCell ref="K1:W1"/>
    <mergeCell ref="Y1:Z1"/>
    <mergeCell ref="AA1:AC1"/>
    <mergeCell ref="Z3:AC3"/>
    <mergeCell ref="Z4:AC4"/>
    <mergeCell ref="Z5:AC5"/>
    <mergeCell ref="Z6:AC6"/>
    <mergeCell ref="Z7:AC7"/>
    <mergeCell ref="Z8:AC8"/>
    <mergeCell ref="Z9:AC9"/>
    <mergeCell ref="Z10:AC10"/>
    <mergeCell ref="Y45:Z45"/>
    <mergeCell ref="AB45:AC45"/>
    <mergeCell ref="Y46:Z46"/>
    <mergeCell ref="Y47:Z47"/>
    <mergeCell ref="Y48:Z48"/>
    <mergeCell ref="Y49:Z49"/>
    <mergeCell ref="Y50:Z50"/>
    <mergeCell ref="Y51:Z51"/>
    <mergeCell ref="Y52:Z52"/>
    <mergeCell ref="Y69:AC69"/>
    <mergeCell ref="Y70:AC70"/>
    <mergeCell ref="Y62:AC62"/>
    <mergeCell ref="Y63:AC63"/>
    <mergeCell ref="Y64:AC64"/>
    <mergeCell ref="Y65:AC65"/>
    <mergeCell ref="Y66:AC66"/>
    <mergeCell ref="Y67:AC67"/>
    <mergeCell ref="Y68:AC68"/>
    <mergeCell ref="Y103:Z103"/>
    <mergeCell ref="Y104:Z104"/>
    <mergeCell ref="Y53:Z53"/>
    <mergeCell ref="Y54:Z54"/>
    <mergeCell ref="Y55:Z55"/>
    <mergeCell ref="Y56:Z56"/>
    <mergeCell ref="Y57:Z57"/>
    <mergeCell ref="Y58:Z58"/>
    <mergeCell ref="Y59:Z59"/>
  </mergeCells>
  <conditionalFormatting sqref="H67:H68 K67:X68 H71 K71:X71 H73:H75 K73:X75">
    <cfRule type="cellIs" dxfId="0" priority="1" operator="equal">
      <formula>"NP"</formula>
    </cfRule>
  </conditionalFormatting>
  <conditionalFormatting sqref="H3:H100 K3:W100 Y3:Y10">
    <cfRule type="cellIs" dxfId="0" priority="2" operator="equal">
      <formula>"NP"</formula>
    </cfRule>
  </conditionalFormatting>
  <conditionalFormatting sqref="AB47:AB49 AC47 AB51:AB53">
    <cfRule type="containsText" dxfId="1" priority="3" operator="containsText" text="Si">
      <formula>NOT(ISERROR(SEARCH(("Si"),(AB47))))</formula>
    </cfRule>
  </conditionalFormatting>
  <conditionalFormatting sqref="H3:H100 K3:W100 Y3:Y10 X67:X68 X71 X73:X75">
    <cfRule type="containsText" dxfId="2" priority="4" operator="containsText" text="A">
      <formula>NOT(ISERROR(SEARCH(("A"),(H3))))</formula>
    </cfRule>
  </conditionalFormatting>
  <conditionalFormatting sqref="H3:H100 K3:W100 Y3:Y10 X67:X68 X71 X73:X75">
    <cfRule type="containsText" dxfId="3" priority="5" operator="containsText" text="F">
      <formula>NOT(ISERROR(SEARCH(("F"),(H3))))</formula>
    </cfRule>
  </conditionalFormatting>
  <conditionalFormatting sqref="H3:H100 K3:W100 Y3:Y10 X67:X68 X71 X73:X75">
    <cfRule type="containsText" dxfId="4" priority="6" operator="containsText" text="J">
      <formula>NOT(ISERROR(SEARCH(("J"),(H3))))</formula>
    </cfRule>
  </conditionalFormatting>
  <conditionalFormatting sqref="H3:H100 K3:W100 Y3:Y10 X67:X68 X71 X73:X75">
    <cfRule type="containsText" dxfId="5" priority="7" operator="containsText" text="R">
      <formula>NOT(ISERROR(SEARCH(("R"),(H3))))</formula>
    </cfRule>
  </conditionalFormatting>
  <conditionalFormatting sqref="H3:H100 K3:W100 Y3:Y10 X67:X68 X71 X73:X75">
    <cfRule type="containsText" dxfId="6" priority="8" operator="containsText" text="L">
      <formula>NOT(ISERROR(SEARCH(("L"),(H3))))</formula>
    </cfRule>
  </conditionalFormatting>
  <conditionalFormatting sqref="AA24 AA26 AA47:AA59 AA71:AA100">
    <cfRule type="expression" dxfId="7" priority="9">
      <formula>AND(ISNUMBER(AA24),TRUNC(AA24)&lt;TODAY())</formula>
    </cfRule>
  </conditionalFormatting>
  <conditionalFormatting sqref="AA24 AA26 AA47:AA59 AA71:AA100">
    <cfRule type="expression" dxfId="8" priority="10">
      <formula>AND(ISNUMBER(AA24),TRUNC(AA24)&gt;TODAY())</formula>
    </cfRule>
  </conditionalFormatting>
  <conditionalFormatting sqref="AA24 AA26 AA47:AA59 AA71:AA100">
    <cfRule type="timePeriod" dxfId="9" priority="11" timePeriod="today"/>
  </conditionalFormatting>
  <conditionalFormatting sqref="AB47:AC59 AB71:AC100">
    <cfRule type="containsText" dxfId="7" priority="12" operator="containsText" text="No">
      <formula>NOT(ISERROR(SEARCH(("No"),(AB47))))</formula>
    </cfRule>
  </conditionalFormatting>
  <conditionalFormatting sqref="H3:H100 K3:W100 Y3:Y10 X67:X68 X71 X73:X75">
    <cfRule type="containsText" dxfId="10" priority="13" operator="containsText" text="T">
      <formula>NOT(ISERROR(SEARCH(("T"),(H3))))</formula>
    </cfRule>
  </conditionalFormatting>
  <conditionalFormatting sqref="AB47:AC59 AB71:AC100">
    <cfRule type="containsText" dxfId="1" priority="14" operator="containsText" text="Sí">
      <formula>NOT(ISERROR(SEARCH(("Sí"),(AB47))))</formula>
    </cfRule>
  </conditionalFormatting>
  <conditionalFormatting sqref="H3:H100 K3:W100 Y3:Y10 X67:X68 X71 X73:X75">
    <cfRule type="containsText" dxfId="11" priority="15" operator="containsText" text="O">
      <formula>NOT(ISERROR(SEARCH(("O"),(H3))))</formula>
    </cfRule>
  </conditionalFormatting>
  <conditionalFormatting sqref="K104:W104">
    <cfRule type="cellIs" dxfId="1" priority="16" operator="equal">
      <formula>"OK"</formula>
    </cfRule>
  </conditionalFormatting>
  <conditionalFormatting sqref="K104:W104">
    <cfRule type="cellIs" dxfId="7" priority="17" operator="equal">
      <formula>"NO"</formula>
    </cfRule>
  </conditionalFormatting>
  <conditionalFormatting sqref="X3:X100">
    <cfRule type="cellIs" dxfId="2" priority="18" operator="greaterThanOrEqual">
      <formula>"75%"</formula>
    </cfRule>
  </conditionalFormatting>
  <conditionalFormatting sqref="X3:X100">
    <cfRule type="cellIs" dxfId="12" priority="19" operator="lessThan">
      <formula>"50%"</formula>
    </cfRule>
  </conditionalFormatting>
  <conditionalFormatting sqref="H3:H100 K3:W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W59 K60 M60:W60 K61:W76 K77:O77 Q77:W77 K78:W100">
      <formula1>"A,J,T,F,O,L,R,NP"</formula1>
    </dataValidation>
  </dataValidations>
  <hyperlinks>
    <hyperlink display="Licencia - ver Licencias" location="Julio!X42:AB56" ref="Z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0.86"/>
    <col customWidth="1" min="11" max="11" width="7.57"/>
    <col customWidth="1" min="12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9.0</v>
      </c>
      <c r="Y1" s="10" t="s">
        <v>6</v>
      </c>
      <c r="Z1" s="5"/>
      <c r="AA1" s="11" t="s">
        <v>7</v>
      </c>
      <c r="AB1" s="7"/>
      <c r="AC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8">
        <v>43345.0</v>
      </c>
      <c r="L2" s="18">
        <v>43347.0</v>
      </c>
      <c r="M2" s="19">
        <v>43349.0</v>
      </c>
      <c r="N2" s="20">
        <v>43352.0</v>
      </c>
      <c r="O2" s="20">
        <v>43354.0</v>
      </c>
      <c r="P2" s="19">
        <v>43356.0</v>
      </c>
      <c r="Q2" s="20">
        <v>43359.0</v>
      </c>
      <c r="R2" s="20">
        <v>43361.0</v>
      </c>
      <c r="S2" s="19">
        <v>43363.0</v>
      </c>
      <c r="T2" s="20">
        <v>43366.0</v>
      </c>
      <c r="U2" s="20">
        <v>43368.0</v>
      </c>
      <c r="V2" s="19">
        <v>43370.0</v>
      </c>
      <c r="W2" s="20">
        <v>43373.0</v>
      </c>
      <c r="X2" s="21" t="s">
        <v>16</v>
      </c>
      <c r="Y2" s="22"/>
      <c r="Z2" s="22"/>
      <c r="AA2" s="23"/>
      <c r="AB2" s="24"/>
      <c r="AC2" s="22"/>
    </row>
    <row r="3" ht="15.75" customHeight="1">
      <c r="A3" s="25">
        <f t="shared" ref="A3:A9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5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18</v>
      </c>
      <c r="E3" s="28" t="s">
        <v>19</v>
      </c>
      <c r="F3" s="28"/>
      <c r="G3" s="29" t="s">
        <v>20</v>
      </c>
      <c r="H3" s="30" t="s">
        <v>21</v>
      </c>
      <c r="I3" s="31" t="s">
        <v>22</v>
      </c>
      <c r="J3" s="32" t="s">
        <v>23</v>
      </c>
      <c r="K3" s="30" t="s">
        <v>21</v>
      </c>
      <c r="L3" s="30" t="s">
        <v>24</v>
      </c>
      <c r="M3" s="30"/>
      <c r="N3" s="30" t="s">
        <v>24</v>
      </c>
      <c r="O3" s="30"/>
      <c r="P3" s="30"/>
      <c r="Q3" s="30"/>
      <c r="R3" s="30"/>
      <c r="S3" s="30" t="s">
        <v>21</v>
      </c>
      <c r="T3" s="30"/>
      <c r="U3" s="30"/>
      <c r="V3" s="30"/>
      <c r="W3" s="30" t="s">
        <v>21</v>
      </c>
      <c r="X3" s="33" t="str">
        <f t="shared" ref="X3:X7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)/$X$1</f>
        <v>#REF!</v>
      </c>
      <c r="Y3" s="34" t="s">
        <v>21</v>
      </c>
      <c r="Z3" s="35" t="s">
        <v>25</v>
      </c>
      <c r="AA3" s="36"/>
      <c r="AB3" s="36"/>
      <c r="AC3" s="37"/>
    </row>
    <row r="4" ht="15.75" customHeight="1">
      <c r="A4" s="25">
        <f t="shared" si="1"/>
        <v>1</v>
      </c>
      <c r="B4" s="25">
        <f t="shared" si="2"/>
        <v>15</v>
      </c>
      <c r="C4" s="26" t="s">
        <v>31</v>
      </c>
      <c r="D4" s="27" t="s">
        <v>32</v>
      </c>
      <c r="E4" s="28" t="s">
        <v>19</v>
      </c>
      <c r="F4" s="28"/>
      <c r="G4" s="29" t="s">
        <v>20</v>
      </c>
      <c r="H4" s="30" t="s">
        <v>30</v>
      </c>
      <c r="I4" s="31" t="s">
        <v>22</v>
      </c>
      <c r="J4" s="32" t="s">
        <v>23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0" t="s">
        <v>30</v>
      </c>
      <c r="W4" s="30" t="s">
        <v>30</v>
      </c>
      <c r="X4" s="33" t="str">
        <f t="shared" si="3"/>
        <v>#REF!</v>
      </c>
      <c r="Y4" s="30" t="s">
        <v>33</v>
      </c>
      <c r="Z4" s="38" t="s">
        <v>34</v>
      </c>
      <c r="AA4" s="4"/>
      <c r="AB4" s="4"/>
      <c r="AC4" s="5"/>
    </row>
    <row r="5" ht="15.75" customHeight="1">
      <c r="A5" s="25">
        <f t="shared" si="1"/>
        <v>1</v>
      </c>
      <c r="B5" s="25">
        <f t="shared" si="2"/>
        <v>3</v>
      </c>
      <c r="C5" s="26" t="s">
        <v>26</v>
      </c>
      <c r="D5" s="27" t="s">
        <v>27</v>
      </c>
      <c r="E5" s="28" t="s">
        <v>28</v>
      </c>
      <c r="F5" s="28" t="s">
        <v>29</v>
      </c>
      <c r="G5" s="29" t="s">
        <v>20</v>
      </c>
      <c r="H5" s="30" t="s">
        <v>30</v>
      </c>
      <c r="I5" s="31" t="s">
        <v>22</v>
      </c>
      <c r="J5" s="32" t="s">
        <v>23</v>
      </c>
      <c r="K5" s="30" t="s">
        <v>30</v>
      </c>
      <c r="L5" s="30" t="s">
        <v>30</v>
      </c>
      <c r="M5" s="30" t="s">
        <v>30</v>
      </c>
      <c r="N5" s="30" t="s">
        <v>30</v>
      </c>
      <c r="O5" s="30" t="s">
        <v>30</v>
      </c>
      <c r="P5" s="30" t="s">
        <v>30</v>
      </c>
      <c r="Q5" s="30" t="s">
        <v>30</v>
      </c>
      <c r="R5" s="30" t="s">
        <v>30</v>
      </c>
      <c r="S5" s="30" t="s">
        <v>30</v>
      </c>
      <c r="T5" s="30" t="s">
        <v>30</v>
      </c>
      <c r="U5" s="30" t="s">
        <v>30</v>
      </c>
      <c r="V5" s="30" t="s">
        <v>30</v>
      </c>
      <c r="W5" s="30" t="s">
        <v>30</v>
      </c>
      <c r="X5" s="33" t="str">
        <f t="shared" si="3"/>
        <v>#REF!</v>
      </c>
      <c r="Y5" s="30" t="s">
        <v>24</v>
      </c>
      <c r="Z5" s="38" t="s">
        <v>36</v>
      </c>
      <c r="AA5" s="4"/>
      <c r="AB5" s="4"/>
      <c r="AC5" s="5"/>
    </row>
    <row r="6" ht="15.75" customHeight="1">
      <c r="A6" s="25">
        <f t="shared" si="1"/>
        <v>1</v>
      </c>
      <c r="B6" s="25">
        <f t="shared" si="2"/>
        <v>15</v>
      </c>
      <c r="C6" s="26" t="s">
        <v>31</v>
      </c>
      <c r="D6" s="27" t="s">
        <v>35</v>
      </c>
      <c r="E6" s="28" t="s">
        <v>19</v>
      </c>
      <c r="F6" s="28"/>
      <c r="G6" s="29" t="s">
        <v>20</v>
      </c>
      <c r="H6" s="30" t="s">
        <v>30</v>
      </c>
      <c r="I6" s="31" t="s">
        <v>22</v>
      </c>
      <c r="J6" s="32" t="s">
        <v>23</v>
      </c>
      <c r="K6" s="30" t="s">
        <v>30</v>
      </c>
      <c r="L6" s="30" t="s">
        <v>30</v>
      </c>
      <c r="M6" s="30" t="s">
        <v>30</v>
      </c>
      <c r="N6" s="30" t="s">
        <v>30</v>
      </c>
      <c r="O6" s="30" t="s">
        <v>30</v>
      </c>
      <c r="P6" s="30" t="s">
        <v>30</v>
      </c>
      <c r="Q6" s="30" t="s">
        <v>30</v>
      </c>
      <c r="R6" s="30" t="s">
        <v>21</v>
      </c>
      <c r="S6" s="30" t="s">
        <v>30</v>
      </c>
      <c r="T6" s="30" t="s">
        <v>30</v>
      </c>
      <c r="U6" s="30" t="s">
        <v>30</v>
      </c>
      <c r="V6" s="30" t="s">
        <v>30</v>
      </c>
      <c r="W6" s="30" t="s">
        <v>30</v>
      </c>
      <c r="X6" s="33" t="str">
        <f t="shared" si="3"/>
        <v>#REF!</v>
      </c>
      <c r="Y6" s="30" t="s">
        <v>37</v>
      </c>
      <c r="Z6" s="40" t="s">
        <v>44</v>
      </c>
      <c r="AA6" s="4"/>
      <c r="AB6" s="4"/>
      <c r="AC6" s="5"/>
    </row>
    <row r="7" ht="15.75" customHeight="1">
      <c r="A7" s="25">
        <f t="shared" si="1"/>
        <v>2</v>
      </c>
      <c r="B7" s="25">
        <f t="shared" si="2"/>
        <v>4</v>
      </c>
      <c r="C7" s="26" t="s">
        <v>39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 t="s">
        <v>21</v>
      </c>
      <c r="L7" s="30" t="s">
        <v>21</v>
      </c>
      <c r="M7" s="39"/>
      <c r="N7" s="30"/>
      <c r="O7" s="30" t="s">
        <v>24</v>
      </c>
      <c r="P7" s="30"/>
      <c r="Q7" s="30" t="s">
        <v>24</v>
      </c>
      <c r="R7" s="30" t="s">
        <v>24</v>
      </c>
      <c r="S7" s="30"/>
      <c r="T7" s="30" t="s">
        <v>24</v>
      </c>
      <c r="U7" s="30" t="s">
        <v>24</v>
      </c>
      <c r="V7" s="30"/>
      <c r="W7" s="30" t="s">
        <v>21</v>
      </c>
      <c r="X7" s="33" t="str">
        <f t="shared" si="3"/>
        <v>#REF!</v>
      </c>
      <c r="Y7" s="30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47</v>
      </c>
      <c r="E8" s="28" t="s">
        <v>41</v>
      </c>
      <c r="F8" s="28" t="s">
        <v>48</v>
      </c>
      <c r="G8" s="29" t="s">
        <v>49</v>
      </c>
      <c r="H8" s="30" t="s">
        <v>21</v>
      </c>
      <c r="I8" s="31" t="s">
        <v>50</v>
      </c>
      <c r="J8" s="32" t="s">
        <v>51</v>
      </c>
      <c r="K8" s="30" t="s">
        <v>21</v>
      </c>
      <c r="L8" s="30" t="s">
        <v>21</v>
      </c>
      <c r="M8" s="41"/>
      <c r="N8" s="30" t="s">
        <v>21</v>
      </c>
      <c r="O8" s="30" t="s">
        <v>21</v>
      </c>
      <c r="P8" s="30"/>
      <c r="Q8" s="30" t="s">
        <v>21</v>
      </c>
      <c r="R8" s="30" t="s">
        <v>21</v>
      </c>
      <c r="S8" s="30"/>
      <c r="T8" s="30" t="s">
        <v>21</v>
      </c>
      <c r="U8" s="30" t="s">
        <v>21</v>
      </c>
      <c r="V8" s="30"/>
      <c r="W8" s="30" t="s">
        <v>21</v>
      </c>
      <c r="X8" s="33" t="str">
        <f t="shared" ref="X8:X9" si="4">SUM( (COUNTIF(K8,"A") + (COUNTIF(K8,"T")/2) + (COUNTIF(K8,"O")/2) )+ (COUNTIF(M8,"A") + (COUNTIF(M8,"T")/2) + (COUNTIF(M8,"O")/2) )+ (COUNTIF(#REF!,"A") + (COUNTIF(#REF!,"T")/2) + (COUNTIF(#REF!,"O")/2) )+ (COUNTIF(N8,"A") + (COUNTIF(N8,"T")/2) + (COUNTIF(N8,"O")/2) )+ (COUNTIF(O8,"A") + (COUNTIF(O8,"T")/2) + (COUNTIF(O8,"O")/2) )+ (COUNTIF(P8,"A") + (COUNTIF(P8,"T")/2) + (COUNTIF(P8,"O")/2) )+ (COUNTIF(Q8,"A") + (COUNTIF(Q8,"T")/2) + (COUNTIF(Q8,"O")/2) )+ (COUNTIF(R8,"A") + (COUNTIF(R8,"T")/2) + (COUNTIF(R8,"O")/2) )+ (COUNTIF(S8,"A") + (COUNTIF(S8,"T")/2) + (COUNTIF(S8,"O")/2) )+ (COUNTIF(#REF!,"A") + (COUNTIF(#REF!,"T")/2) + (COUNTIF(#REF!,"O")/2) )+ (COUNTIF(T8,"A") + (COUNTIF(T8,"T")/2) + (COUNTIF(T8,"O")/2) )+ (COUNTIF(U8,"A") + (COUNTIF(U8,"T")/2) + (COUNTIF(U8,"O")/2) )+ (COUNTIF(V8,"A") + (COUNTIF(V8,"T")/2) + (COUNTIF(V8,"O")/2) ) )/$X$1</f>
        <v>#REF!</v>
      </c>
      <c r="Y8" s="30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55</v>
      </c>
      <c r="E9" s="28" t="s">
        <v>41</v>
      </c>
      <c r="F9" s="28" t="s">
        <v>56</v>
      </c>
      <c r="G9" s="29" t="s">
        <v>49</v>
      </c>
      <c r="H9" s="30" t="s">
        <v>21</v>
      </c>
      <c r="I9" s="31" t="s">
        <v>50</v>
      </c>
      <c r="J9" s="32" t="s">
        <v>57</v>
      </c>
      <c r="K9" s="30" t="s">
        <v>21</v>
      </c>
      <c r="L9" s="30" t="s">
        <v>21</v>
      </c>
      <c r="M9" s="30"/>
      <c r="N9" s="30" t="s">
        <v>21</v>
      </c>
      <c r="O9" s="30" t="s">
        <v>21</v>
      </c>
      <c r="P9" s="30"/>
      <c r="Q9" s="30" t="s">
        <v>24</v>
      </c>
      <c r="R9" s="30" t="s">
        <v>24</v>
      </c>
      <c r="S9" s="30"/>
      <c r="T9" s="30" t="s">
        <v>24</v>
      </c>
      <c r="U9" s="30" t="s">
        <v>24</v>
      </c>
      <c r="V9" s="30"/>
      <c r="W9" s="30" t="s">
        <v>21</v>
      </c>
      <c r="X9" s="33" t="str">
        <f t="shared" si="4"/>
        <v>#REF!</v>
      </c>
      <c r="Y9" s="30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7</v>
      </c>
      <c r="C10" s="26" t="s">
        <v>46</v>
      </c>
      <c r="D10" s="27" t="s">
        <v>60</v>
      </c>
      <c r="E10" s="28" t="s">
        <v>61</v>
      </c>
      <c r="F10" s="28" t="s">
        <v>56</v>
      </c>
      <c r="G10" s="29" t="s">
        <v>62</v>
      </c>
      <c r="H10" s="30" t="s">
        <v>21</v>
      </c>
      <c r="I10" s="31" t="s">
        <v>50</v>
      </c>
      <c r="J10" s="32" t="s">
        <v>63</v>
      </c>
      <c r="K10" s="30" t="s">
        <v>21</v>
      </c>
      <c r="L10" s="30" t="s">
        <v>21</v>
      </c>
      <c r="M10" s="30"/>
      <c r="N10" s="30" t="s">
        <v>21</v>
      </c>
      <c r="O10" s="30" t="s">
        <v>24</v>
      </c>
      <c r="P10" s="30"/>
      <c r="Q10" s="30" t="s">
        <v>24</v>
      </c>
      <c r="R10" s="30" t="s">
        <v>24</v>
      </c>
      <c r="S10" s="30"/>
      <c r="T10" s="30" t="s">
        <v>21</v>
      </c>
      <c r="U10" s="30" t="s">
        <v>21</v>
      </c>
      <c r="V10" s="30"/>
      <c r="W10" s="30" t="s">
        <v>21</v>
      </c>
      <c r="X10" s="33" t="str">
        <f t="shared" ref="X10:X16" si="5">SUM( (COUNTIF(K10,"A") + (COUNTIF(K10,"T")/2) + (COUNTIF(K10,"O")/2) )+ (COUNTIF(L10,"A") + (COUNTIF(L10,"T")/2) + (COUNTIF(L10,"O")/2) )+ (COUNTIF(M10,"A") + (COUNTIF(M10,"T")/2) + (COUNTIF(M10,"O")/2) )+ (COUNTIF(N10,"A") + (COUNTIF(N10,"T")/2) + (COUNTIF(N10,"O")/2) )+ (COUNTIF(O10,"A") + (COUNTIF(O10,"T")/2) + (COUNTIF(O10,"O")/2) )+ (COUNTIF(P10,"A") + (COUNTIF(P10,"T")/2) + (COUNTIF(P10,"O")/2) )+ (COUNTIF(Q10,"A") + (COUNTIF(Q10,"T")/2) + (COUNTIF(Q10,"O")/2) )+ (COUNTIF(R10,"A") + (COUNTIF(R10,"T")/2) + (COUNTIF(R10,"O")/2) )+ (COUNTIF(S10,"A") + (COUNTIF(S10,"T")/2) + (COUNTIF(S10,"O")/2) )+ (COUNTIF(#REF!,"A") + (COUNTIF(#REF!,"T")/2) + (COUNTIF(#REF!,"O")/2) )+ (COUNTIF(T10,"A") + (COUNTIF(T10,"T")/2) + (COUNTIF(T10,"O")/2) )+ (COUNTIF(U10,"A") + (COUNTIF(U10,"T")/2) + (COUNTIF(U10,"O")/2) )+ (COUNTIF(V10,"A") + (COUNTIF(V10,"T")/2) + (COUNTIF(V10,"O")/2) ) )/$X$1</f>
        <v>#REF!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61</v>
      </c>
      <c r="F11" s="28" t="s">
        <v>19</v>
      </c>
      <c r="G11" s="29" t="s">
        <v>20</v>
      </c>
      <c r="H11" s="30" t="s">
        <v>21</v>
      </c>
      <c r="I11" s="31" t="s">
        <v>50</v>
      </c>
      <c r="J11" s="32" t="s">
        <v>68</v>
      </c>
      <c r="K11" s="30" t="s">
        <v>21</v>
      </c>
      <c r="L11" s="30" t="s">
        <v>24</v>
      </c>
      <c r="M11" s="30"/>
      <c r="N11" s="30" t="s">
        <v>21</v>
      </c>
      <c r="O11" s="30" t="s">
        <v>24</v>
      </c>
      <c r="P11" s="30"/>
      <c r="Q11" s="30" t="s">
        <v>24</v>
      </c>
      <c r="R11" s="30" t="s">
        <v>24</v>
      </c>
      <c r="S11" s="30"/>
      <c r="T11" s="30" t="s">
        <v>52</v>
      </c>
      <c r="U11" s="30" t="s">
        <v>24</v>
      </c>
      <c r="V11" s="30"/>
      <c r="W11" s="30" t="s">
        <v>52</v>
      </c>
      <c r="X11" s="33" t="str">
        <f t="shared" si="5"/>
        <v>#REF!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64</v>
      </c>
      <c r="D12" s="27" t="s">
        <v>69</v>
      </c>
      <c r="E12" s="28" t="s">
        <v>19</v>
      </c>
      <c r="F12" s="28" t="s">
        <v>70</v>
      </c>
      <c r="G12" s="29" t="s">
        <v>71</v>
      </c>
      <c r="H12" s="30" t="s">
        <v>21</v>
      </c>
      <c r="I12" s="31" t="s">
        <v>50</v>
      </c>
      <c r="J12" s="32" t="s">
        <v>68</v>
      </c>
      <c r="K12" s="30" t="s">
        <v>21</v>
      </c>
      <c r="L12" s="42" t="s">
        <v>21</v>
      </c>
      <c r="M12" s="30"/>
      <c r="N12" s="30" t="s">
        <v>21</v>
      </c>
      <c r="O12" s="30" t="s">
        <v>21</v>
      </c>
      <c r="P12" s="30"/>
      <c r="Q12" s="30" t="s">
        <v>21</v>
      </c>
      <c r="R12" s="30" t="s">
        <v>21</v>
      </c>
      <c r="S12" s="30"/>
      <c r="T12" s="30" t="s">
        <v>24</v>
      </c>
      <c r="U12" s="30" t="s">
        <v>21</v>
      </c>
      <c r="V12" s="30"/>
      <c r="W12" s="30" t="s">
        <v>21</v>
      </c>
      <c r="X12" s="33" t="str">
        <f t="shared" si="5"/>
        <v>#REF!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10</v>
      </c>
      <c r="C13" s="26" t="s">
        <v>84</v>
      </c>
      <c r="D13" s="27" t="s">
        <v>75</v>
      </c>
      <c r="E13" s="28" t="s">
        <v>70</v>
      </c>
      <c r="F13" s="28" t="s">
        <v>76</v>
      </c>
      <c r="G13" s="29" t="s">
        <v>71</v>
      </c>
      <c r="H13" s="30" t="s">
        <v>21</v>
      </c>
      <c r="I13" s="31" t="s">
        <v>50</v>
      </c>
      <c r="J13" s="32" t="s">
        <v>68</v>
      </c>
      <c r="K13" s="30" t="s">
        <v>21</v>
      </c>
      <c r="L13" s="30" t="s">
        <v>21</v>
      </c>
      <c r="M13" s="30"/>
      <c r="N13" s="30" t="s">
        <v>21</v>
      </c>
      <c r="O13" s="30" t="s">
        <v>21</v>
      </c>
      <c r="P13" s="30"/>
      <c r="Q13" s="30" t="s">
        <v>21</v>
      </c>
      <c r="R13" s="30" t="s">
        <v>21</v>
      </c>
      <c r="S13" s="30"/>
      <c r="T13" s="30" t="s">
        <v>21</v>
      </c>
      <c r="U13" s="30" t="s">
        <v>21</v>
      </c>
      <c r="V13" s="30"/>
      <c r="W13" s="30" t="s">
        <v>24</v>
      </c>
      <c r="X13" s="33" t="str">
        <f t="shared" si="5"/>
        <v>#REF!</v>
      </c>
      <c r="Y13" s="45" t="s">
        <v>77</v>
      </c>
      <c r="Z13" s="46">
        <f>COUNTIF(I3:I98,"1° P - 1°M")</f>
        <v>18</v>
      </c>
      <c r="AA13" s="44"/>
      <c r="AB13" s="45" t="s">
        <v>78</v>
      </c>
      <c r="AC13" s="46">
        <f>COUNTIF(C3:C98,"Rct.")</f>
        <v>10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80</v>
      </c>
      <c r="E14" s="28" t="s">
        <v>56</v>
      </c>
      <c r="F14" s="28" t="s">
        <v>19</v>
      </c>
      <c r="G14" s="29" t="s">
        <v>71</v>
      </c>
      <c r="H14" s="30" t="s">
        <v>21</v>
      </c>
      <c r="I14" s="31" t="s">
        <v>50</v>
      </c>
      <c r="J14" s="32" t="s">
        <v>68</v>
      </c>
      <c r="K14" s="30" t="s">
        <v>37</v>
      </c>
      <c r="L14" s="30" t="s">
        <v>37</v>
      </c>
      <c r="M14" s="30" t="s">
        <v>37</v>
      </c>
      <c r="N14" s="30" t="s">
        <v>37</v>
      </c>
      <c r="O14" s="30" t="s">
        <v>21</v>
      </c>
      <c r="P14" s="30"/>
      <c r="Q14" s="30"/>
      <c r="R14" s="30"/>
      <c r="S14" s="30"/>
      <c r="T14" s="30"/>
      <c r="U14" s="30"/>
      <c r="V14" s="30"/>
      <c r="W14" s="42"/>
      <c r="X14" s="33" t="str">
        <f t="shared" si="5"/>
        <v>#REF!</v>
      </c>
      <c r="Y14" s="45" t="s">
        <v>81</v>
      </c>
      <c r="Z14" s="46">
        <f>COUNTIF(I3:I98,"1° P - 2°M")</f>
        <v>12</v>
      </c>
      <c r="AA14" s="44"/>
      <c r="AB14" s="45" t="s">
        <v>82</v>
      </c>
      <c r="AC14" s="46">
        <f>COUNTIF(C3:C98,"Inf.")</f>
        <v>18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64</v>
      </c>
      <c r="D15" s="27" t="s">
        <v>83</v>
      </c>
      <c r="E15" s="28" t="s">
        <v>76</v>
      </c>
      <c r="F15" s="28" t="s">
        <v>70</v>
      </c>
      <c r="G15" s="29" t="s">
        <v>49</v>
      </c>
      <c r="H15" s="30" t="s">
        <v>21</v>
      </c>
      <c r="I15" s="31" t="s">
        <v>50</v>
      </c>
      <c r="J15" s="32" t="s">
        <v>85</v>
      </c>
      <c r="K15" s="30" t="s">
        <v>24</v>
      </c>
      <c r="L15" s="30" t="s">
        <v>24</v>
      </c>
      <c r="M15" s="30"/>
      <c r="N15" s="30" t="s">
        <v>24</v>
      </c>
      <c r="O15" s="30" t="s">
        <v>21</v>
      </c>
      <c r="P15" s="30"/>
      <c r="Q15" s="30" t="s">
        <v>24</v>
      </c>
      <c r="R15" s="30" t="s">
        <v>24</v>
      </c>
      <c r="S15" s="30"/>
      <c r="T15" s="30" t="s">
        <v>21</v>
      </c>
      <c r="U15" s="30" t="s">
        <v>21</v>
      </c>
      <c r="V15" s="30"/>
      <c r="W15" s="30" t="s">
        <v>24</v>
      </c>
      <c r="X15" s="33" t="str">
        <f t="shared" si="5"/>
        <v>#REF!</v>
      </c>
      <c r="Y15" s="45" t="s">
        <v>86</v>
      </c>
      <c r="Z15" s="46">
        <f>COUNTIF(I3:I98,"1° PP - 1°Pa")</f>
        <v>11</v>
      </c>
      <c r="AA15" s="44"/>
      <c r="AB15" s="45" t="s">
        <v>87</v>
      </c>
      <c r="AC15" s="46">
        <f>COUNTIF(C3:C98,"Dis.")</f>
        <v>14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88</v>
      </c>
      <c r="E16" s="28" t="s">
        <v>41</v>
      </c>
      <c r="F16" s="28" t="s">
        <v>19</v>
      </c>
      <c r="G16" s="29" t="s">
        <v>62</v>
      </c>
      <c r="H16" s="30" t="s">
        <v>21</v>
      </c>
      <c r="I16" s="31" t="s">
        <v>50</v>
      </c>
      <c r="J16" s="32" t="s">
        <v>85</v>
      </c>
      <c r="K16" s="30" t="s">
        <v>21</v>
      </c>
      <c r="L16" s="30" t="s">
        <v>21</v>
      </c>
      <c r="M16" s="30"/>
      <c r="N16" s="30" t="s">
        <v>21</v>
      </c>
      <c r="O16" s="30" t="s">
        <v>21</v>
      </c>
      <c r="P16" s="30"/>
      <c r="Q16" s="30" t="s">
        <v>21</v>
      </c>
      <c r="R16" s="30" t="s">
        <v>21</v>
      </c>
      <c r="S16" s="30"/>
      <c r="T16" s="30" t="s">
        <v>24</v>
      </c>
      <c r="U16" s="30" t="s">
        <v>21</v>
      </c>
      <c r="V16" s="30"/>
      <c r="W16" s="30" t="s">
        <v>24</v>
      </c>
      <c r="X16" s="33" t="str">
        <f t="shared" si="5"/>
        <v>#REF!</v>
      </c>
      <c r="Y16" s="45" t="s">
        <v>89</v>
      </c>
      <c r="Z16" s="46">
        <f>COUNTIF(I3:I98,"Espectro")</f>
        <v>3</v>
      </c>
      <c r="AA16" s="44"/>
      <c r="AB16" s="45" t="s">
        <v>90</v>
      </c>
      <c r="AC16" s="46">
        <f>COUNTIF(C3:C98,"Cbo.")</f>
        <v>10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94</v>
      </c>
      <c r="E17" s="28" t="s">
        <v>19</v>
      </c>
      <c r="F17" s="28" t="s">
        <v>41</v>
      </c>
      <c r="G17" s="29" t="s">
        <v>49</v>
      </c>
      <c r="H17" s="42" t="s">
        <v>21</v>
      </c>
      <c r="I17" s="31" t="s">
        <v>50</v>
      </c>
      <c r="J17" s="32" t="s">
        <v>85</v>
      </c>
      <c r="K17" s="42" t="s">
        <v>21</v>
      </c>
      <c r="L17" s="42" t="s">
        <v>21</v>
      </c>
      <c r="M17" s="42"/>
      <c r="N17" s="42" t="s">
        <v>21</v>
      </c>
      <c r="O17" s="42" t="s">
        <v>21</v>
      </c>
      <c r="P17" s="42"/>
      <c r="Q17" s="42" t="s">
        <v>21</v>
      </c>
      <c r="R17" s="42" t="s">
        <v>21</v>
      </c>
      <c r="S17" s="42"/>
      <c r="T17" s="42" t="s">
        <v>21</v>
      </c>
      <c r="U17" s="42" t="s">
        <v>21</v>
      </c>
      <c r="V17" s="42"/>
      <c r="W17" s="42" t="s">
        <v>21</v>
      </c>
      <c r="X17" s="33" t="str">
        <f>SUM( (COUNTIF(K17,"A") + (COUNTIF(K17,"T")/2) + (COUNTIF(K17,"O")/2) )+ (COUNTIF(M17,"A") + (COUNTIF(M17,"T")/2) + (COUNTIF(M17,"O")/2) )+ (COUNTIF(#REF!,"A") + (COUNTIF(#REF!,"T")/2) + (COUNTIF(#REF!,"O")/2) )+ (COUNTIF(N17,"A") + (COUNTIF(N17,"T")/2) + (COUNTIF(N17,"O")/2) )+ (COUNTIF(O17,"A") + (COUNTIF(O17,"T")/2) + (COUNTIF(O17,"O")/2) )+ (COUNTIF(P17,"A") + (COUNTIF(P17,"T")/2) + (COUNTIF(P17,"O")/2) )+ (COUNTIF(Q17,"A") + (COUNTIF(Q17,"T")/2) + (COUNTIF(Q17,"O")/2) )+ (COUNTIF(R17,"A") + (COUNTIF(R17,"T")/2) + (COUNTIF(R17,"O")/2) )+ (COUNTIF(S17,"A") + (COUNTIF(S17,"T")/2) + (COUNTIF(S17,"O")/2) )+ (COUNTIF(#REF!,"A") + (COUNTIF(#REF!,"T")/2) + (COUNTIF(#REF!,"O")/2) )+ (COUNTIF(T17,"A") + (COUNTIF(T17,"T")/2) + (COUNTIF(T17,"O")/2) )+ (COUNTIF(U17,"A") + (COUNTIF(U17,"T")/2) + (COUNTIF(U17,"O")/2) )+ (COUNTIF(V17,"A") + (COUNTIF(V17,"T")/2) + (COUNTIF(V17,"O")/2) ) )/$X$1</f>
        <v>#REF!</v>
      </c>
      <c r="Y17" s="45" t="s">
        <v>92</v>
      </c>
      <c r="Z17" s="46">
        <f>COUNTIF(I3:I98,"Caballeria")</f>
        <v>11</v>
      </c>
      <c r="AA17" s="44"/>
      <c r="AB17" s="45" t="s">
        <v>93</v>
      </c>
      <c r="AC17" s="46">
        <f>COUNTIF(C3:C98,"Cbo1.")</f>
        <v>8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79</v>
      </c>
      <c r="D18" s="27" t="s">
        <v>97</v>
      </c>
      <c r="E18" s="28" t="s">
        <v>19</v>
      </c>
      <c r="F18" s="28"/>
      <c r="G18" s="29" t="s">
        <v>71</v>
      </c>
      <c r="H18" s="30" t="s">
        <v>21</v>
      </c>
      <c r="I18" s="31" t="s">
        <v>50</v>
      </c>
      <c r="J18" s="32" t="s">
        <v>85</v>
      </c>
      <c r="K18" s="30" t="s">
        <v>21</v>
      </c>
      <c r="L18" s="30" t="s">
        <v>21</v>
      </c>
      <c r="M18" s="30"/>
      <c r="N18" s="30" t="s">
        <v>21</v>
      </c>
      <c r="O18" s="30" t="s">
        <v>21</v>
      </c>
      <c r="P18" s="30"/>
      <c r="Q18" s="30" t="s">
        <v>24</v>
      </c>
      <c r="R18" s="30" t="s">
        <v>24</v>
      </c>
      <c r="S18" s="30"/>
      <c r="T18" s="30"/>
      <c r="U18" s="30"/>
      <c r="V18" s="30"/>
      <c r="W18" s="30"/>
      <c r="X18" s="33" t="str">
        <f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)/$X$1</f>
        <v>#REF!</v>
      </c>
      <c r="Y18" s="45" t="s">
        <v>95</v>
      </c>
      <c r="Z18" s="46">
        <f>COUNTIF(I3:I98,"FAZR")</f>
        <v>4</v>
      </c>
      <c r="AA18" s="44"/>
      <c r="AB18" s="45" t="s">
        <v>96</v>
      </c>
      <c r="AC18" s="46">
        <f>COUNTIF(C3:C98,"Sgt.")</f>
        <v>6</v>
      </c>
    </row>
    <row r="19" ht="15.75" customHeight="1">
      <c r="A19" s="25">
        <f t="shared" si="1"/>
        <v>3</v>
      </c>
      <c r="B19" s="25">
        <f t="shared" si="2"/>
        <v>10</v>
      </c>
      <c r="C19" s="26" t="s">
        <v>84</v>
      </c>
      <c r="D19" s="27" t="s">
        <v>91</v>
      </c>
      <c r="E19" s="28" t="s">
        <v>56</v>
      </c>
      <c r="F19" s="28" t="s">
        <v>19</v>
      </c>
      <c r="G19" s="29" t="s">
        <v>49</v>
      </c>
      <c r="H19" s="30" t="s">
        <v>21</v>
      </c>
      <c r="I19" s="31" t="s">
        <v>50</v>
      </c>
      <c r="J19" s="32" t="s">
        <v>85</v>
      </c>
      <c r="K19" s="30" t="s">
        <v>21</v>
      </c>
      <c r="L19" s="30" t="s">
        <v>21</v>
      </c>
      <c r="M19" s="30"/>
      <c r="N19" s="30" t="s">
        <v>21</v>
      </c>
      <c r="O19" s="30" t="s">
        <v>24</v>
      </c>
      <c r="P19" s="30"/>
      <c r="Q19" s="30" t="s">
        <v>24</v>
      </c>
      <c r="R19" s="30" t="s">
        <v>24</v>
      </c>
      <c r="S19" s="30"/>
      <c r="T19" s="30" t="s">
        <v>21</v>
      </c>
      <c r="U19" s="30" t="s">
        <v>21</v>
      </c>
      <c r="V19" s="30"/>
      <c r="W19" s="30" t="s">
        <v>21</v>
      </c>
      <c r="X19" s="33" t="str">
        <f>SUM( (COUNTIF(K19,"A") + (COUNTIF(K19,"T")/2) + (COUNTIF(K19,"O")/2) )+ (COUNTIF(M19,"A") + (COUNTIF(M19,"T")/2) + (COUNTIF(M19,"O")/2) )+ (COUNTIF(#REF!,"A") + (COUNTIF(#REF!,"T")/2) + (COUNTIF(#REF!,"O")/2) )+ (COUNTIF(N19,"A") + (COUNTIF(N19,"T")/2) + (COUNTIF(N19,"O")/2) )+ (COUNTIF(O19,"A") + (COUNTIF(O19,"T")/2) + (COUNTIF(O19,"O")/2) )+ (COUNTIF(P19,"A") + (COUNTIF(P19,"T")/2) + (COUNTIF(P19,"O")/2) )+ (COUNTIF(Q19,"A") + (COUNTIF(Q19,"T")/2) + (COUNTIF(Q19,"O")/2) )+ (COUNTIF(R19,"A") + (COUNTIF(R19,"T")/2) + (COUNTIF(R19,"O")/2) )+ (COUNTIF(S19,"A") + (COUNTIF(S19,"T")/2) + (COUNTIF(S19,"O")/2) )+ (COUNTIF(#REF!,"A") + (COUNTIF(#REF!,"T")/2) + (COUNTIF(#REF!,"O")/2) )+ (COUNTIF(T19,"A") + (COUNTIF(T19,"T")/2) + (COUNTIF(T19,"O")/2) )+ (COUNTIF(U19,"A") + (COUNTIF(U19,"T")/2) + (COUNTIF(U19,"O")/2) )+ (COUNTIF(V19,"A") + (COUNTIF(V19,"T")/2) + (COUNTIF(V19,"O")/2) ) )/$X$1</f>
        <v>#REF!</v>
      </c>
      <c r="Y19" s="45" t="s">
        <v>98</v>
      </c>
      <c r="Z19" s="46">
        <v>6.0</v>
      </c>
      <c r="AA19" s="44"/>
      <c r="AB19" s="45" t="s">
        <v>99</v>
      </c>
      <c r="AC19" s="46">
        <f>COUNTIF(C3:C98,"Sgt1.")</f>
        <v>1</v>
      </c>
    </row>
    <row r="20" ht="15.75" customHeight="1">
      <c r="A20" s="25">
        <f t="shared" si="1"/>
        <v>3</v>
      </c>
      <c r="B20" s="25">
        <f t="shared" si="2"/>
        <v>7</v>
      </c>
      <c r="C20" s="26" t="s">
        <v>46</v>
      </c>
      <c r="D20" s="27" t="s">
        <v>100</v>
      </c>
      <c r="E20" s="28" t="s">
        <v>41</v>
      </c>
      <c r="F20" s="28" t="s">
        <v>28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0" t="s">
        <v>30</v>
      </c>
      <c r="X20" s="33" t="str">
        <f t="shared" ref="X20:X66" si="6">SUM( (COUNTIF(K20,"A") + (COUNTIF(K20,"T")/2) + (COUNTIF(K20,"O")/2) )+ (COUNTIF(L20,"A") + (COUNTIF(L20,"T")/2) + (COUNTIF(L20,"O")/2) )+ (COUNTIF(M20,"A") + (COUNTIF(M20,"T")/2) + (COUNTIF(M20,"O")/2) )+ (COUNTIF(N20,"A") + (COUNTIF(N20,"T")/2) + (COUNTIF(N20,"O")/2) )+ (COUNTIF(O20,"A") + (COUNTIF(O20,"T")/2) + (COUNTIF(O20,"O")/2) )+ (COUNTIF(P20,"A") + (COUNTIF(P20,"T")/2) + (COUNTIF(P20,"O")/2) )+ (COUNTIF(Q20,"A") + (COUNTIF(Q20,"T")/2) + (COUNTIF(Q20,"O")/2) )+ (COUNTIF(R20,"A") + (COUNTIF(R20,"T")/2) + (COUNTIF(R20,"O")/2) )+ (COUNTIF(S20,"A") + (COUNTIF(S20,"T")/2) + (COUNTIF(S20,"O")/2) )+ (COUNTIF(#REF!,"A") + (COUNTIF(#REF!,"T")/2) + (COUNTIF(#REF!,"O")/2) )+ (COUNTIF(T20,"A") + (COUNTIF(T20,"T")/2) + (COUNTIF(T20,"O")/2) )+ (COUNTIF(U20,"A") + (COUNTIF(U20,"T")/2) + (COUNTIF(U20,"O")/2) )+ (COUNTIF(V20,"A") + (COUNTIF(V20,"T")/2) + (COUNTIF(V20,"O")/2) ) )/$X$1</f>
        <v>#REF!</v>
      </c>
      <c r="Y20" s="45" t="s">
        <v>101</v>
      </c>
      <c r="Z20" s="46">
        <f>COUNTIF(H3:H98,"R")</f>
        <v>25</v>
      </c>
      <c r="AA20" s="44"/>
      <c r="AB20" s="45" t="s">
        <v>102</v>
      </c>
      <c r="AC20" s="46">
        <f>COUNTIF(C3:C98,"SgtM.")</f>
        <v>1</v>
      </c>
    </row>
    <row r="21" ht="15.75" customHeight="1">
      <c r="A21" s="25">
        <f t="shared" si="1"/>
        <v>3</v>
      </c>
      <c r="B21" s="25">
        <f t="shared" si="2"/>
        <v>8</v>
      </c>
      <c r="C21" s="26" t="s">
        <v>54</v>
      </c>
      <c r="D21" s="27" t="s">
        <v>103</v>
      </c>
      <c r="E21" s="28" t="s">
        <v>70</v>
      </c>
      <c r="F21" s="28" t="s">
        <v>19</v>
      </c>
      <c r="G21" s="29" t="s">
        <v>20</v>
      </c>
      <c r="H21" s="30" t="s">
        <v>30</v>
      </c>
      <c r="I21" s="31" t="s">
        <v>50</v>
      </c>
      <c r="J21" s="32"/>
      <c r="K21" s="30" t="s">
        <v>30</v>
      </c>
      <c r="L21" s="30" t="s">
        <v>30</v>
      </c>
      <c r="M21" s="30" t="s">
        <v>30</v>
      </c>
      <c r="N21" s="30" t="s">
        <v>30</v>
      </c>
      <c r="O21" s="30" t="s">
        <v>30</v>
      </c>
      <c r="P21" s="30" t="s">
        <v>30</v>
      </c>
      <c r="Q21" s="30" t="s">
        <v>30</v>
      </c>
      <c r="R21" s="30" t="s">
        <v>30</v>
      </c>
      <c r="S21" s="30" t="s">
        <v>30</v>
      </c>
      <c r="T21" s="30" t="s">
        <v>30</v>
      </c>
      <c r="U21" s="30" t="s">
        <v>30</v>
      </c>
      <c r="V21" s="30" t="s">
        <v>30</v>
      </c>
      <c r="W21" s="30" t="s">
        <v>30</v>
      </c>
      <c r="X21" s="33" t="str">
        <f t="shared" si="6"/>
        <v>#REF!</v>
      </c>
      <c r="Y21" s="45" t="s">
        <v>38</v>
      </c>
      <c r="Z21" s="46">
        <f>COUNTIF(H3:H98,"L")</f>
        <v>1</v>
      </c>
      <c r="AA21" s="44"/>
      <c r="AB21" s="45" t="s">
        <v>104</v>
      </c>
      <c r="AC21" s="46">
        <f>COUNTIF(C3:C98,"Tte.")</f>
        <v>0</v>
      </c>
    </row>
    <row r="22" ht="15.75" customHeight="1">
      <c r="A22" s="25">
        <f t="shared" si="1"/>
        <v>3</v>
      </c>
      <c r="B22" s="25">
        <f t="shared" si="2"/>
        <v>8</v>
      </c>
      <c r="C22" s="26" t="s">
        <v>54</v>
      </c>
      <c r="D22" s="27" t="s">
        <v>105</v>
      </c>
      <c r="E22" s="28" t="s">
        <v>41</v>
      </c>
      <c r="F22" s="28" t="s">
        <v>56</v>
      </c>
      <c r="G22" s="29" t="s">
        <v>49</v>
      </c>
      <c r="H22" s="30" t="s">
        <v>30</v>
      </c>
      <c r="I22" s="31" t="s">
        <v>50</v>
      </c>
      <c r="J22" s="32"/>
      <c r="K22" s="30" t="s">
        <v>30</v>
      </c>
      <c r="L22" s="30" t="s">
        <v>30</v>
      </c>
      <c r="M22" s="30" t="s">
        <v>30</v>
      </c>
      <c r="N22" s="30" t="s">
        <v>30</v>
      </c>
      <c r="O22" s="30" t="s">
        <v>30</v>
      </c>
      <c r="P22" s="30" t="s">
        <v>30</v>
      </c>
      <c r="Q22" s="30" t="s">
        <v>30</v>
      </c>
      <c r="R22" s="30" t="s">
        <v>30</v>
      </c>
      <c r="S22" s="30" t="s">
        <v>30</v>
      </c>
      <c r="T22" s="30" t="s">
        <v>30</v>
      </c>
      <c r="U22" s="30" t="s">
        <v>30</v>
      </c>
      <c r="V22" s="30" t="s">
        <v>30</v>
      </c>
      <c r="W22" s="30" t="s">
        <v>30</v>
      </c>
      <c r="X22" s="33" t="str">
        <f t="shared" si="6"/>
        <v>#REF!</v>
      </c>
      <c r="Y22" s="45"/>
      <c r="Z22" s="46"/>
      <c r="AA22" s="44"/>
      <c r="AB22" s="45" t="s">
        <v>106</v>
      </c>
      <c r="AC22" s="46">
        <f>COUNTIF(C3:C98,"Alf.")</f>
        <v>1</v>
      </c>
    </row>
    <row r="23" ht="15.75" customHeight="1">
      <c r="A23" s="25">
        <f t="shared" si="1"/>
        <v>3</v>
      </c>
      <c r="B23" s="25">
        <f t="shared" si="2"/>
        <v>9</v>
      </c>
      <c r="C23" s="26" t="s">
        <v>64</v>
      </c>
      <c r="D23" s="27" t="s">
        <v>107</v>
      </c>
      <c r="E23" s="28" t="s">
        <v>70</v>
      </c>
      <c r="F23" s="28" t="s">
        <v>48</v>
      </c>
      <c r="G23" s="29" t="s">
        <v>20</v>
      </c>
      <c r="H23" s="30" t="s">
        <v>30</v>
      </c>
      <c r="I23" s="31" t="s">
        <v>50</v>
      </c>
      <c r="J23" s="32"/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30</v>
      </c>
      <c r="P23" s="30" t="s">
        <v>30</v>
      </c>
      <c r="Q23" s="30" t="s">
        <v>30</v>
      </c>
      <c r="R23" s="30" t="s">
        <v>30</v>
      </c>
      <c r="S23" s="30" t="s">
        <v>30</v>
      </c>
      <c r="T23" s="30" t="s">
        <v>30</v>
      </c>
      <c r="U23" s="30" t="s">
        <v>30</v>
      </c>
      <c r="V23" s="30" t="s">
        <v>30</v>
      </c>
      <c r="W23" s="30" t="s">
        <v>30</v>
      </c>
      <c r="X23" s="33" t="str">
        <f t="shared" si="6"/>
        <v>#REF!</v>
      </c>
      <c r="Y23" s="45"/>
      <c r="Z23" s="46"/>
      <c r="AA23" s="44"/>
      <c r="AB23" s="45" t="s">
        <v>108</v>
      </c>
      <c r="AC23" s="46">
        <f>COUNTIF(C3:C98,"Cap.")</f>
        <v>1</v>
      </c>
    </row>
    <row r="24" ht="15.75" customHeight="1">
      <c r="A24" s="25">
        <f t="shared" si="1"/>
        <v>3</v>
      </c>
      <c r="B24" s="25">
        <f t="shared" si="2"/>
        <v>11</v>
      </c>
      <c r="C24" s="26" t="s">
        <v>79</v>
      </c>
      <c r="D24" s="27" t="s">
        <v>109</v>
      </c>
      <c r="E24" s="28" t="s">
        <v>19</v>
      </c>
      <c r="F24" s="28"/>
      <c r="G24" s="29" t="s">
        <v>20</v>
      </c>
      <c r="H24" s="30" t="s">
        <v>30</v>
      </c>
      <c r="I24" s="31" t="s">
        <v>50</v>
      </c>
      <c r="J24" s="32"/>
      <c r="K24" s="42" t="s">
        <v>30</v>
      </c>
      <c r="L24" s="30" t="s">
        <v>30</v>
      </c>
      <c r="M24" s="42" t="s">
        <v>30</v>
      </c>
      <c r="N24" s="30" t="s">
        <v>30</v>
      </c>
      <c r="O24" s="42" t="s">
        <v>30</v>
      </c>
      <c r="P24" s="30" t="s">
        <v>30</v>
      </c>
      <c r="Q24" s="42" t="s">
        <v>30</v>
      </c>
      <c r="R24" s="30" t="s">
        <v>30</v>
      </c>
      <c r="S24" s="42" t="s">
        <v>30</v>
      </c>
      <c r="T24" s="30" t="s">
        <v>30</v>
      </c>
      <c r="U24" s="42" t="s">
        <v>30</v>
      </c>
      <c r="V24" s="42" t="s">
        <v>30</v>
      </c>
      <c r="W24" s="30" t="s">
        <v>30</v>
      </c>
      <c r="X24" s="33" t="str">
        <f t="shared" si="6"/>
        <v>#REF!</v>
      </c>
      <c r="Y24" s="47"/>
      <c r="Z24" s="47"/>
      <c r="AA24" s="48"/>
      <c r="AB24" s="45" t="s">
        <v>110</v>
      </c>
      <c r="AC24" s="46">
        <f>COUNTIF(C3:C99,"May.")</f>
        <v>2</v>
      </c>
    </row>
    <row r="25" ht="15.75" customHeight="1">
      <c r="A25" s="25">
        <f t="shared" si="1"/>
        <v>3</v>
      </c>
      <c r="B25" s="25">
        <f t="shared" si="2"/>
        <v>11</v>
      </c>
      <c r="C25" s="26" t="s">
        <v>79</v>
      </c>
      <c r="D25" s="27" t="s">
        <v>111</v>
      </c>
      <c r="E25" s="28" t="s">
        <v>19</v>
      </c>
      <c r="F25" s="28"/>
      <c r="G25" s="29" t="s">
        <v>112</v>
      </c>
      <c r="H25" s="30" t="s">
        <v>30</v>
      </c>
      <c r="I25" s="31" t="s">
        <v>50</v>
      </c>
      <c r="J25" s="32"/>
      <c r="K25" s="30" t="s">
        <v>30</v>
      </c>
      <c r="L25" s="30" t="s">
        <v>30</v>
      </c>
      <c r="M25" s="30" t="s">
        <v>30</v>
      </c>
      <c r="N25" s="30" t="s">
        <v>30</v>
      </c>
      <c r="O25" s="30" t="s">
        <v>30</v>
      </c>
      <c r="P25" s="30" t="s">
        <v>30</v>
      </c>
      <c r="Q25" s="30" t="s">
        <v>30</v>
      </c>
      <c r="R25" s="30" t="s">
        <v>30</v>
      </c>
      <c r="S25" s="30" t="s">
        <v>30</v>
      </c>
      <c r="T25" s="30" t="s">
        <v>30</v>
      </c>
      <c r="U25" s="30" t="s">
        <v>30</v>
      </c>
      <c r="V25" s="30" t="s">
        <v>30</v>
      </c>
      <c r="W25" s="30" t="s">
        <v>30</v>
      </c>
      <c r="X25" s="33" t="str">
        <f t="shared" si="6"/>
        <v>#REF!</v>
      </c>
    </row>
    <row r="26" ht="15.75" customHeight="1">
      <c r="A26" s="25">
        <f t="shared" si="1"/>
        <v>4</v>
      </c>
      <c r="B26" s="25">
        <f t="shared" si="2"/>
        <v>6</v>
      </c>
      <c r="C26" s="26" t="s">
        <v>113</v>
      </c>
      <c r="D26" s="27" t="s">
        <v>114</v>
      </c>
      <c r="E26" s="28" t="s">
        <v>48</v>
      </c>
      <c r="F26" s="28" t="s">
        <v>76</v>
      </c>
      <c r="G26" s="29" t="s">
        <v>20</v>
      </c>
      <c r="H26" s="30" t="s">
        <v>21</v>
      </c>
      <c r="I26" s="31" t="s">
        <v>115</v>
      </c>
      <c r="J26" s="32" t="s">
        <v>51</v>
      </c>
      <c r="K26" s="30" t="s">
        <v>21</v>
      </c>
      <c r="L26" s="30" t="s">
        <v>21</v>
      </c>
      <c r="M26" s="30"/>
      <c r="N26" s="30" t="s">
        <v>21</v>
      </c>
      <c r="O26" s="30" t="s">
        <v>21</v>
      </c>
      <c r="P26" s="30"/>
      <c r="Q26" s="30" t="s">
        <v>21</v>
      </c>
      <c r="R26" s="30" t="s">
        <v>24</v>
      </c>
      <c r="S26" s="30"/>
      <c r="T26" s="30" t="s">
        <v>21</v>
      </c>
      <c r="U26" s="30" t="s">
        <v>21</v>
      </c>
      <c r="V26" s="30"/>
      <c r="W26" s="30"/>
      <c r="X26" s="33" t="str">
        <f t="shared" si="6"/>
        <v>#REF!</v>
      </c>
      <c r="Y26" s="43" t="s">
        <v>116</v>
      </c>
      <c r="Z26" s="43" t="s">
        <v>73</v>
      </c>
      <c r="AA26" s="48"/>
      <c r="AB26" s="43" t="s">
        <v>117</v>
      </c>
      <c r="AC26" s="43" t="s">
        <v>73</v>
      </c>
    </row>
    <row r="27" ht="15.75" customHeight="1">
      <c r="A27" s="25">
        <f t="shared" si="1"/>
        <v>4</v>
      </c>
      <c r="B27" s="25">
        <f t="shared" si="2"/>
        <v>8</v>
      </c>
      <c r="C27" s="26" t="s">
        <v>54</v>
      </c>
      <c r="D27" s="27" t="s">
        <v>118</v>
      </c>
      <c r="E27" s="28" t="s">
        <v>76</v>
      </c>
      <c r="F27" s="28" t="s">
        <v>28</v>
      </c>
      <c r="G27" s="29" t="s">
        <v>62</v>
      </c>
      <c r="H27" s="30" t="s">
        <v>30</v>
      </c>
      <c r="I27" s="31" t="s">
        <v>115</v>
      </c>
      <c r="J27" s="32" t="s">
        <v>57</v>
      </c>
      <c r="K27" s="30" t="s">
        <v>30</v>
      </c>
      <c r="L27" s="30" t="s">
        <v>21</v>
      </c>
      <c r="M27" s="30" t="s">
        <v>30</v>
      </c>
      <c r="N27" s="30" t="s">
        <v>30</v>
      </c>
      <c r="O27" s="30" t="s">
        <v>21</v>
      </c>
      <c r="P27" s="30" t="s">
        <v>30</v>
      </c>
      <c r="Q27" s="30" t="s">
        <v>30</v>
      </c>
      <c r="R27" s="30" t="s">
        <v>30</v>
      </c>
      <c r="S27" s="30" t="s">
        <v>30</v>
      </c>
      <c r="T27" s="30" t="s">
        <v>30</v>
      </c>
      <c r="U27" s="30" t="s">
        <v>30</v>
      </c>
      <c r="V27" s="30" t="s">
        <v>30</v>
      </c>
      <c r="W27" s="30" t="s">
        <v>30</v>
      </c>
      <c r="X27" s="33" t="str">
        <f t="shared" si="6"/>
        <v>#REF!</v>
      </c>
      <c r="Y27" s="45" t="s">
        <v>119</v>
      </c>
      <c r="Z27" s="46">
        <f>COUNTIF(G3:G98, "Ar")</f>
        <v>20</v>
      </c>
      <c r="AA27" s="44"/>
      <c r="AB27" s="45" t="s">
        <v>120</v>
      </c>
      <c r="AC27" s="46">
        <f>COUNTIF(E3:E98,"AT")+COUNTIF(F3:F98,"AT")</f>
        <v>16</v>
      </c>
    </row>
    <row r="28" ht="15.75" customHeight="1">
      <c r="A28" s="25">
        <f t="shared" si="1"/>
        <v>4</v>
      </c>
      <c r="B28" s="25">
        <f t="shared" si="2"/>
        <v>8</v>
      </c>
      <c r="C28" s="26" t="s">
        <v>54</v>
      </c>
      <c r="D28" s="27" t="s">
        <v>121</v>
      </c>
      <c r="E28" s="28" t="s">
        <v>41</v>
      </c>
      <c r="F28" s="28" t="s">
        <v>28</v>
      </c>
      <c r="G28" s="29" t="s">
        <v>49</v>
      </c>
      <c r="H28" s="30" t="s">
        <v>21</v>
      </c>
      <c r="I28" s="31" t="s">
        <v>115</v>
      </c>
      <c r="J28" s="32" t="s">
        <v>63</v>
      </c>
      <c r="K28" s="30" t="s">
        <v>24</v>
      </c>
      <c r="L28" s="30" t="s">
        <v>21</v>
      </c>
      <c r="M28" s="30"/>
      <c r="N28" s="30" t="s">
        <v>37</v>
      </c>
      <c r="O28" s="30" t="s">
        <v>37</v>
      </c>
      <c r="P28" s="30"/>
      <c r="Q28" s="30" t="s">
        <v>21</v>
      </c>
      <c r="R28" s="30" t="s">
        <v>21</v>
      </c>
      <c r="S28" s="30" t="s">
        <v>37</v>
      </c>
      <c r="T28" s="30" t="s">
        <v>37</v>
      </c>
      <c r="U28" s="30" t="s">
        <v>37</v>
      </c>
      <c r="V28" s="30" t="s">
        <v>37</v>
      </c>
      <c r="W28" s="30" t="s">
        <v>37</v>
      </c>
      <c r="X28" s="33" t="str">
        <f t="shared" si="6"/>
        <v>#REF!</v>
      </c>
      <c r="Y28" s="49" t="s">
        <v>122</v>
      </c>
      <c r="Z28" s="46">
        <f>COUNTIF(G3:G98, "Ch")</f>
        <v>12</v>
      </c>
      <c r="AA28" s="44"/>
      <c r="AB28" s="49" t="s">
        <v>123</v>
      </c>
      <c r="AC28" s="46">
        <f>COUNTIF(E3:E98,"FL")+COUNTIF(F3:F98,"FL")</f>
        <v>36</v>
      </c>
    </row>
    <row r="29" ht="15.75" customHeight="1">
      <c r="A29" s="25">
        <f t="shared" si="1"/>
        <v>4</v>
      </c>
      <c r="B29" s="25">
        <f t="shared" si="2"/>
        <v>9</v>
      </c>
      <c r="C29" s="26" t="s">
        <v>64</v>
      </c>
      <c r="D29" s="27" t="s">
        <v>124</v>
      </c>
      <c r="E29" s="28" t="s">
        <v>61</v>
      </c>
      <c r="F29" s="28" t="s">
        <v>70</v>
      </c>
      <c r="G29" s="29" t="s">
        <v>125</v>
      </c>
      <c r="H29" s="30" t="s">
        <v>21</v>
      </c>
      <c r="I29" s="31" t="s">
        <v>115</v>
      </c>
      <c r="J29" s="32" t="s">
        <v>68</v>
      </c>
      <c r="K29" s="30" t="s">
        <v>21</v>
      </c>
      <c r="L29" s="30" t="s">
        <v>21</v>
      </c>
      <c r="M29" s="30"/>
      <c r="N29" s="30" t="s">
        <v>21</v>
      </c>
      <c r="O29" s="30" t="s">
        <v>21</v>
      </c>
      <c r="P29" s="30"/>
      <c r="Q29" s="30" t="s">
        <v>21</v>
      </c>
      <c r="R29" s="50" t="s">
        <v>21</v>
      </c>
      <c r="S29" s="30" t="s">
        <v>58</v>
      </c>
      <c r="T29" s="50" t="s">
        <v>21</v>
      </c>
      <c r="U29" s="30" t="s">
        <v>21</v>
      </c>
      <c r="V29" s="42"/>
      <c r="W29" s="51"/>
      <c r="X29" s="33" t="str">
        <f t="shared" si="6"/>
        <v>#REF!</v>
      </c>
      <c r="Y29" s="49" t="s">
        <v>126</v>
      </c>
      <c r="Z29" s="46">
        <f>COUNTIF(G3:G98, "Co")</f>
        <v>3</v>
      </c>
      <c r="AA29" s="44"/>
      <c r="AB29" s="49" t="s">
        <v>127</v>
      </c>
      <c r="AC29" s="46">
        <f>COUNTIF(E3:E98,"GL")+COUNTIF(F3:F98,"GL")</f>
        <v>9</v>
      </c>
    </row>
    <row r="30" ht="15.75" customHeight="1">
      <c r="A30" s="25">
        <f t="shared" si="1"/>
        <v>4</v>
      </c>
      <c r="B30" s="25">
        <f t="shared" si="2"/>
        <v>10</v>
      </c>
      <c r="C30" s="26" t="s">
        <v>84</v>
      </c>
      <c r="D30" s="27" t="s">
        <v>128</v>
      </c>
      <c r="E30" s="28" t="s">
        <v>41</v>
      </c>
      <c r="F30" s="28" t="s">
        <v>19</v>
      </c>
      <c r="G30" s="29" t="s">
        <v>71</v>
      </c>
      <c r="H30" s="30" t="s">
        <v>21</v>
      </c>
      <c r="I30" s="31" t="s">
        <v>115</v>
      </c>
      <c r="J30" s="32" t="s">
        <v>68</v>
      </c>
      <c r="K30" s="30" t="s">
        <v>21</v>
      </c>
      <c r="L30" s="30" t="s">
        <v>21</v>
      </c>
      <c r="M30" s="30"/>
      <c r="N30" s="30" t="s">
        <v>21</v>
      </c>
      <c r="O30" s="30" t="s">
        <v>21</v>
      </c>
      <c r="P30" s="30"/>
      <c r="Q30" s="30" t="s">
        <v>21</v>
      </c>
      <c r="R30" s="30" t="s">
        <v>21</v>
      </c>
      <c r="S30" s="30"/>
      <c r="T30" s="30" t="s">
        <v>24</v>
      </c>
      <c r="U30" s="30" t="s">
        <v>21</v>
      </c>
      <c r="V30" s="30"/>
      <c r="W30" s="30"/>
      <c r="X30" s="33" t="str">
        <f t="shared" si="6"/>
        <v>#REF!</v>
      </c>
      <c r="Y30" s="49" t="s">
        <v>129</v>
      </c>
      <c r="Z30" s="46">
        <f>COUNTIF(G3:G98, "CR")</f>
        <v>0</v>
      </c>
      <c r="AA30" s="44"/>
      <c r="AB30" s="49" t="s">
        <v>130</v>
      </c>
      <c r="AC30" s="46">
        <f>COUNTIF(E3:E98,"MC")+COUNTIF(F3:F98,"MC")</f>
        <v>22</v>
      </c>
    </row>
    <row r="31" ht="15.75" customHeight="1">
      <c r="A31" s="25">
        <f t="shared" si="1"/>
        <v>4</v>
      </c>
      <c r="B31" s="25">
        <f t="shared" si="2"/>
        <v>10</v>
      </c>
      <c r="C31" s="26" t="s">
        <v>84</v>
      </c>
      <c r="D31" s="27" t="s">
        <v>131</v>
      </c>
      <c r="E31" s="28" t="s">
        <v>19</v>
      </c>
      <c r="F31" s="28"/>
      <c r="G31" s="29" t="s">
        <v>132</v>
      </c>
      <c r="H31" s="30" t="s">
        <v>21</v>
      </c>
      <c r="I31" s="31" t="s">
        <v>115</v>
      </c>
      <c r="J31" s="32" t="s">
        <v>68</v>
      </c>
      <c r="K31" s="30" t="s">
        <v>24</v>
      </c>
      <c r="L31" s="30" t="s">
        <v>33</v>
      </c>
      <c r="M31" s="30"/>
      <c r="N31" s="30" t="s">
        <v>33</v>
      </c>
      <c r="O31" s="30" t="s">
        <v>33</v>
      </c>
      <c r="P31" s="30"/>
      <c r="Q31" s="30" t="s">
        <v>33</v>
      </c>
      <c r="R31" s="30" t="s">
        <v>33</v>
      </c>
      <c r="S31" s="30"/>
      <c r="T31" s="30" t="s">
        <v>33</v>
      </c>
      <c r="U31" s="30" t="s">
        <v>33</v>
      </c>
      <c r="V31" s="30"/>
      <c r="W31" s="30"/>
      <c r="X31" s="33" t="str">
        <f t="shared" si="6"/>
        <v>#REF!</v>
      </c>
      <c r="Y31" s="49" t="s">
        <v>133</v>
      </c>
      <c r="Z31" s="46">
        <f>COUNTIF(G3:G98, "ES")</f>
        <v>1</v>
      </c>
      <c r="AA31" s="44"/>
      <c r="AB31" s="49" t="s">
        <v>134</v>
      </c>
      <c r="AC31" s="46">
        <f>COUNTIF(E3:E98,"MG")+COUNTIF(F3:F98,"MG")</f>
        <v>15</v>
      </c>
    </row>
    <row r="32" ht="15.75" customHeight="1">
      <c r="A32" s="25">
        <f t="shared" si="1"/>
        <v>4</v>
      </c>
      <c r="B32" s="25">
        <f t="shared" si="2"/>
        <v>11</v>
      </c>
      <c r="C32" s="26" t="s">
        <v>79</v>
      </c>
      <c r="D32" s="27" t="s">
        <v>135</v>
      </c>
      <c r="E32" s="28" t="s">
        <v>19</v>
      </c>
      <c r="F32" s="28"/>
      <c r="G32" s="29"/>
      <c r="H32" s="30" t="s">
        <v>21</v>
      </c>
      <c r="I32" s="31" t="s">
        <v>115</v>
      </c>
      <c r="J32" s="32" t="s">
        <v>68</v>
      </c>
      <c r="K32" s="30" t="s">
        <v>21</v>
      </c>
      <c r="L32" s="30" t="s">
        <v>33</v>
      </c>
      <c r="M32" s="30"/>
      <c r="N32" s="30" t="s">
        <v>33</v>
      </c>
      <c r="O32" s="30" t="s">
        <v>33</v>
      </c>
      <c r="P32" s="30"/>
      <c r="Q32" s="30" t="s">
        <v>24</v>
      </c>
      <c r="R32" s="30" t="s">
        <v>24</v>
      </c>
      <c r="S32" s="30"/>
      <c r="T32" s="30" t="s">
        <v>21</v>
      </c>
      <c r="U32" s="30" t="s">
        <v>21</v>
      </c>
      <c r="V32" s="30"/>
      <c r="W32" s="30"/>
      <c r="X32" s="33" t="str">
        <f t="shared" si="6"/>
        <v>#REF!</v>
      </c>
      <c r="Y32" s="49" t="s">
        <v>136</v>
      </c>
      <c r="Z32" s="46">
        <f>COUNTIF(G3:G98, "Ja")</f>
        <v>1</v>
      </c>
      <c r="AA32" s="44"/>
      <c r="AB32" s="49" t="s">
        <v>137</v>
      </c>
      <c r="AC32" s="46">
        <f>COUNTIF(E3:E98,"OD")+COUNTIF(F3:F98,"OD")</f>
        <v>6</v>
      </c>
    </row>
    <row r="33" ht="15.75" customHeight="1">
      <c r="A33" s="25">
        <f t="shared" si="1"/>
        <v>4</v>
      </c>
      <c r="B33" s="25">
        <f t="shared" si="2"/>
        <v>8</v>
      </c>
      <c r="C33" s="26" t="s">
        <v>54</v>
      </c>
      <c r="D33" s="27" t="s">
        <v>138</v>
      </c>
      <c r="E33" s="28" t="s">
        <v>61</v>
      </c>
      <c r="F33" s="28" t="s">
        <v>70</v>
      </c>
      <c r="G33" s="29" t="s">
        <v>62</v>
      </c>
      <c r="H33" s="30" t="s">
        <v>21</v>
      </c>
      <c r="I33" s="31" t="s">
        <v>115</v>
      </c>
      <c r="J33" s="32" t="s">
        <v>85</v>
      </c>
      <c r="K33" s="30" t="s">
        <v>21</v>
      </c>
      <c r="L33" s="30" t="s">
        <v>21</v>
      </c>
      <c r="M33" s="30"/>
      <c r="N33" s="30" t="s">
        <v>21</v>
      </c>
      <c r="O33" s="30" t="s">
        <v>21</v>
      </c>
      <c r="P33" s="30"/>
      <c r="Q33" s="30" t="s">
        <v>21</v>
      </c>
      <c r="R33" s="30" t="s">
        <v>21</v>
      </c>
      <c r="S33" s="30"/>
      <c r="T33" s="30" t="s">
        <v>24</v>
      </c>
      <c r="U33" s="30" t="s">
        <v>21</v>
      </c>
      <c r="V33" s="30"/>
      <c r="W33" s="30"/>
      <c r="X33" s="33" t="str">
        <f t="shared" si="6"/>
        <v>#REF!</v>
      </c>
      <c r="Y33" s="49" t="s">
        <v>139</v>
      </c>
      <c r="Z33" s="46">
        <f>COUNTIF(G3:G98, "Me")</f>
        <v>8</v>
      </c>
      <c r="AA33" s="44"/>
      <c r="AB33" s="49" t="s">
        <v>140</v>
      </c>
      <c r="AC33" s="46">
        <f>COUNTIF(E3:E98,"RO")+COUNTIF(F3:F98,"RO")</f>
        <v>9</v>
      </c>
    </row>
    <row r="34" ht="15.75" customHeight="1">
      <c r="A34" s="25">
        <f t="shared" si="1"/>
        <v>4</v>
      </c>
      <c r="B34" s="25">
        <f t="shared" si="2"/>
        <v>10</v>
      </c>
      <c r="C34" s="26" t="s">
        <v>84</v>
      </c>
      <c r="D34" s="27" t="s">
        <v>141</v>
      </c>
      <c r="E34" s="28" t="s">
        <v>28</v>
      </c>
      <c r="F34" s="28" t="s">
        <v>41</v>
      </c>
      <c r="G34" s="29"/>
      <c r="H34" s="30" t="s">
        <v>37</v>
      </c>
      <c r="I34" s="31" t="s">
        <v>115</v>
      </c>
      <c r="J34" s="32" t="s">
        <v>85</v>
      </c>
      <c r="K34" s="30" t="s">
        <v>37</v>
      </c>
      <c r="L34" s="30" t="s">
        <v>37</v>
      </c>
      <c r="M34" s="30" t="s">
        <v>37</v>
      </c>
      <c r="N34" s="30" t="s">
        <v>37</v>
      </c>
      <c r="O34" s="30" t="s">
        <v>37</v>
      </c>
      <c r="P34" s="30" t="s">
        <v>37</v>
      </c>
      <c r="Q34" s="52" t="s">
        <v>37</v>
      </c>
      <c r="R34" s="52" t="s">
        <v>37</v>
      </c>
      <c r="S34" s="52" t="s">
        <v>37</v>
      </c>
      <c r="T34" s="52" t="s">
        <v>37</v>
      </c>
      <c r="U34" s="52" t="s">
        <v>37</v>
      </c>
      <c r="V34" s="52" t="s">
        <v>37</v>
      </c>
      <c r="W34" s="52" t="s">
        <v>37</v>
      </c>
      <c r="X34" s="33" t="str">
        <f t="shared" si="6"/>
        <v>#REF!</v>
      </c>
      <c r="Y34" s="49" t="s">
        <v>142</v>
      </c>
      <c r="Z34" s="46">
        <f>COUNTIF(G3:G98, "Pa")</f>
        <v>1</v>
      </c>
      <c r="AA34" s="44"/>
      <c r="AB34" s="49" t="s">
        <v>143</v>
      </c>
      <c r="AC34" s="46">
        <f>COUNTIF(E3:E98,"TE")+COUNTIF(F3:F98,"TE")</f>
        <v>9</v>
      </c>
    </row>
    <row r="35" ht="15.75" customHeight="1">
      <c r="A35" s="25">
        <f t="shared" si="1"/>
        <v>4</v>
      </c>
      <c r="B35" s="25">
        <f t="shared" si="2"/>
        <v>10</v>
      </c>
      <c r="C35" s="26" t="s">
        <v>84</v>
      </c>
      <c r="D35" s="27" t="s">
        <v>144</v>
      </c>
      <c r="E35" s="28" t="s">
        <v>19</v>
      </c>
      <c r="F35" s="28" t="s">
        <v>70</v>
      </c>
      <c r="G35" s="29" t="s">
        <v>145</v>
      </c>
      <c r="H35" s="42" t="s">
        <v>30</v>
      </c>
      <c r="I35" s="31" t="s">
        <v>115</v>
      </c>
      <c r="J35" s="32" t="s">
        <v>85</v>
      </c>
      <c r="K35" s="30" t="s">
        <v>30</v>
      </c>
      <c r="L35" s="30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30" t="s">
        <v>30</v>
      </c>
      <c r="R35" s="30" t="s">
        <v>30</v>
      </c>
      <c r="S35" s="30" t="s">
        <v>30</v>
      </c>
      <c r="T35" s="30" t="s">
        <v>30</v>
      </c>
      <c r="U35" s="30" t="s">
        <v>30</v>
      </c>
      <c r="V35" s="30" t="s">
        <v>30</v>
      </c>
      <c r="W35" s="30" t="s">
        <v>30</v>
      </c>
      <c r="X35" s="33" t="str">
        <f t="shared" si="6"/>
        <v>#REF!</v>
      </c>
      <c r="Y35" s="49" t="s">
        <v>146</v>
      </c>
      <c r="Z35" s="46">
        <f>COUNTIF(G3:G98, "Py")</f>
        <v>0</v>
      </c>
      <c r="AA35" s="44"/>
      <c r="AB35" s="49" t="s">
        <v>147</v>
      </c>
      <c r="AC35" s="46">
        <f>COUNTIF(E3:E98,"TS")+COUNTIF(F3:F98,"TS")</f>
        <v>2</v>
      </c>
    </row>
    <row r="36" ht="15.75" customHeight="1">
      <c r="A36" s="25">
        <f t="shared" si="1"/>
        <v>4</v>
      </c>
      <c r="B36" s="25">
        <v>11.0</v>
      </c>
      <c r="C36" s="26" t="s">
        <v>84</v>
      </c>
      <c r="D36" s="27" t="s">
        <v>148</v>
      </c>
      <c r="E36" s="28" t="s">
        <v>61</v>
      </c>
      <c r="F36" s="28"/>
      <c r="G36" s="29" t="s">
        <v>149</v>
      </c>
      <c r="H36" s="30" t="s">
        <v>21</v>
      </c>
      <c r="I36" s="31" t="s">
        <v>115</v>
      </c>
      <c r="J36" s="32" t="s">
        <v>85</v>
      </c>
      <c r="K36" s="30" t="s">
        <v>21</v>
      </c>
      <c r="L36" s="30" t="s">
        <v>21</v>
      </c>
      <c r="M36" s="30"/>
      <c r="N36" s="30" t="s">
        <v>24</v>
      </c>
      <c r="O36" s="30" t="s">
        <v>21</v>
      </c>
      <c r="P36" s="30"/>
      <c r="Q36" s="30" t="s">
        <v>33</v>
      </c>
      <c r="R36" s="30" t="s">
        <v>33</v>
      </c>
      <c r="S36" s="30"/>
      <c r="T36" s="30" t="s">
        <v>33</v>
      </c>
      <c r="U36" s="30" t="s">
        <v>33</v>
      </c>
      <c r="V36" s="30"/>
      <c r="W36" s="30"/>
      <c r="X36" s="33" t="str">
        <f t="shared" si="6"/>
        <v>#REF!</v>
      </c>
      <c r="Y36" s="49" t="s">
        <v>150</v>
      </c>
      <c r="Z36" s="46">
        <f>COUNTIF(G3:G98, "Pe")</f>
        <v>3</v>
      </c>
      <c r="AA36" s="44"/>
      <c r="AB36" s="49"/>
      <c r="AC36" s="46"/>
    </row>
    <row r="37" ht="15.75" customHeight="1">
      <c r="A37" s="25">
        <f t="shared" si="1"/>
        <v>4</v>
      </c>
      <c r="B37" s="25">
        <f t="shared" ref="B37:B98" si="7">IF(C37="Cap.",1,IF(C37="Tte.",2,IF(C37="Alf.",3,IF(C37="SgtM.",4,IF(C37="Sgt1.",5,IF(C37="Sgt.",6,IF(C37="Cbo1.",7,IF(C37="Cbo.",8,IF(C37="Dis.",9,IF(C37="Inf.",10,IF(C37="Rct.",11,15)))))))))))</f>
        <v>11</v>
      </c>
      <c r="C37" s="53" t="s">
        <v>79</v>
      </c>
      <c r="D37" s="54" t="s">
        <v>151</v>
      </c>
      <c r="E37" s="28" t="s">
        <v>19</v>
      </c>
      <c r="F37" s="28"/>
      <c r="G37" s="29" t="s">
        <v>71</v>
      </c>
      <c r="H37" s="30" t="s">
        <v>21</v>
      </c>
      <c r="I37" s="31" t="s">
        <v>115</v>
      </c>
      <c r="J37" s="32"/>
      <c r="K37" s="30" t="s">
        <v>65</v>
      </c>
      <c r="L37" s="30" t="s">
        <v>65</v>
      </c>
      <c r="M37" s="30" t="s">
        <v>65</v>
      </c>
      <c r="N37" s="30" t="s">
        <v>65</v>
      </c>
      <c r="O37" s="30" t="s">
        <v>21</v>
      </c>
      <c r="P37" s="30"/>
      <c r="Q37" s="30" t="s">
        <v>21</v>
      </c>
      <c r="R37" s="30" t="s">
        <v>21</v>
      </c>
      <c r="S37" s="30"/>
      <c r="T37" s="30" t="s">
        <v>21</v>
      </c>
      <c r="U37" s="30" t="s">
        <v>21</v>
      </c>
      <c r="V37" s="30"/>
      <c r="W37" s="30"/>
      <c r="X37" s="33" t="str">
        <f t="shared" si="6"/>
        <v>#REF!</v>
      </c>
      <c r="Y37" s="49" t="s">
        <v>152</v>
      </c>
      <c r="Z37" s="46">
        <f>COUNTIF(G3:G98, "US")</f>
        <v>1</v>
      </c>
      <c r="AA37" s="44"/>
      <c r="AB37" s="49"/>
      <c r="AC37" s="46"/>
    </row>
    <row r="38" ht="15.75" customHeight="1">
      <c r="A38" s="25">
        <f t="shared" si="1"/>
        <v>9</v>
      </c>
      <c r="B38" s="25">
        <f t="shared" si="7"/>
        <v>6</v>
      </c>
      <c r="C38" s="26" t="s">
        <v>113</v>
      </c>
      <c r="D38" s="27" t="s">
        <v>157</v>
      </c>
      <c r="E38" s="28" t="s">
        <v>48</v>
      </c>
      <c r="F38" s="28" t="s">
        <v>41</v>
      </c>
      <c r="G38" s="29" t="s">
        <v>20</v>
      </c>
      <c r="H38" s="30" t="s">
        <v>21</v>
      </c>
      <c r="I38" s="31" t="s">
        <v>158</v>
      </c>
      <c r="J38" s="32" t="s">
        <v>51</v>
      </c>
      <c r="K38" s="30" t="s">
        <v>21</v>
      </c>
      <c r="L38" s="30" t="s">
        <v>21</v>
      </c>
      <c r="M38" s="30"/>
      <c r="N38" s="30" t="s">
        <v>21</v>
      </c>
      <c r="O38" s="30" t="s">
        <v>21</v>
      </c>
      <c r="P38" s="30"/>
      <c r="Q38" s="30" t="s">
        <v>21</v>
      </c>
      <c r="R38" s="30" t="s">
        <v>24</v>
      </c>
      <c r="S38" s="30"/>
      <c r="T38" s="30" t="s">
        <v>24</v>
      </c>
      <c r="U38" s="30" t="s">
        <v>21</v>
      </c>
      <c r="V38" s="30"/>
      <c r="W38" s="30" t="s">
        <v>24</v>
      </c>
      <c r="X38" s="33" t="str">
        <f t="shared" si="6"/>
        <v>#REF!</v>
      </c>
      <c r="Y38" s="49" t="s">
        <v>154</v>
      </c>
      <c r="Z38" s="46">
        <f>COUNTIF(G3:G98, "Ve")</f>
        <v>18</v>
      </c>
      <c r="AA38" s="44"/>
      <c r="AB38" s="49"/>
      <c r="AC38" s="46"/>
    </row>
    <row r="39" ht="15.75" customHeight="1">
      <c r="A39" s="25">
        <f t="shared" si="1"/>
        <v>9</v>
      </c>
      <c r="B39" s="25">
        <f t="shared" si="7"/>
        <v>7</v>
      </c>
      <c r="C39" s="26" t="s">
        <v>46</v>
      </c>
      <c r="D39" s="27" t="s">
        <v>160</v>
      </c>
      <c r="E39" s="28" t="s">
        <v>61</v>
      </c>
      <c r="F39" s="28" t="s">
        <v>48</v>
      </c>
      <c r="G39" s="29" t="s">
        <v>149</v>
      </c>
      <c r="H39" s="30" t="s">
        <v>30</v>
      </c>
      <c r="I39" s="31" t="s">
        <v>158</v>
      </c>
      <c r="J39" s="32" t="s">
        <v>57</v>
      </c>
      <c r="K39" s="30" t="s">
        <v>30</v>
      </c>
      <c r="L39" s="30" t="s">
        <v>30</v>
      </c>
      <c r="M39" s="30" t="s">
        <v>30</v>
      </c>
      <c r="N39" s="30" t="s">
        <v>30</v>
      </c>
      <c r="O39" s="30" t="s">
        <v>30</v>
      </c>
      <c r="P39" s="30" t="s">
        <v>30</v>
      </c>
      <c r="Q39" s="30" t="s">
        <v>30</v>
      </c>
      <c r="R39" s="30" t="s">
        <v>30</v>
      </c>
      <c r="S39" s="30" t="s">
        <v>30</v>
      </c>
      <c r="T39" s="30" t="s">
        <v>30</v>
      </c>
      <c r="U39" s="30" t="s">
        <v>30</v>
      </c>
      <c r="V39" s="30" t="s">
        <v>30</v>
      </c>
      <c r="W39" s="30" t="s">
        <v>30</v>
      </c>
      <c r="X39" s="33" t="str">
        <f t="shared" si="6"/>
        <v>#REF!</v>
      </c>
      <c r="Y39" s="49" t="s">
        <v>156</v>
      </c>
      <c r="Z39" s="46">
        <f>COUNTIF(G3:G98, "PR")</f>
        <v>0</v>
      </c>
      <c r="AA39" s="44"/>
      <c r="AB39" s="44"/>
      <c r="AC39" s="44"/>
    </row>
    <row r="40" ht="15.75" customHeight="1">
      <c r="A40" s="25">
        <f t="shared" si="1"/>
        <v>9</v>
      </c>
      <c r="B40" s="25">
        <f t="shared" si="7"/>
        <v>7</v>
      </c>
      <c r="C40" s="26" t="s">
        <v>46</v>
      </c>
      <c r="D40" s="27" t="s">
        <v>162</v>
      </c>
      <c r="E40" s="28" t="s">
        <v>41</v>
      </c>
      <c r="F40" s="28" t="s">
        <v>28</v>
      </c>
      <c r="G40" s="29" t="s">
        <v>163</v>
      </c>
      <c r="H40" s="30" t="s">
        <v>21</v>
      </c>
      <c r="I40" s="31" t="s">
        <v>158</v>
      </c>
      <c r="J40" s="32" t="s">
        <v>63</v>
      </c>
      <c r="K40" s="30" t="s">
        <v>37</v>
      </c>
      <c r="L40" s="30" t="s">
        <v>37</v>
      </c>
      <c r="M40" s="30" t="s">
        <v>37</v>
      </c>
      <c r="N40" s="30" t="s">
        <v>21</v>
      </c>
      <c r="O40" s="30" t="s">
        <v>21</v>
      </c>
      <c r="P40" s="30" t="s">
        <v>37</v>
      </c>
      <c r="Q40" s="30" t="s">
        <v>21</v>
      </c>
      <c r="R40" s="30" t="s">
        <v>24</v>
      </c>
      <c r="S40" s="30"/>
      <c r="T40" s="30" t="s">
        <v>24</v>
      </c>
      <c r="U40" s="30" t="s">
        <v>24</v>
      </c>
      <c r="V40" s="30"/>
      <c r="W40" s="30" t="s">
        <v>24</v>
      </c>
      <c r="X40" s="33" t="str">
        <f t="shared" si="6"/>
        <v>#REF!</v>
      </c>
      <c r="Y40" s="49" t="s">
        <v>159</v>
      </c>
      <c r="Z40" s="46">
        <f>COUNTIF(G3:G98, "Bo")</f>
        <v>1</v>
      </c>
      <c r="AA40" s="44"/>
      <c r="AB40" s="44"/>
      <c r="AC40" s="44"/>
    </row>
    <row r="41" ht="15.75" customHeight="1">
      <c r="A41" s="25">
        <f t="shared" si="1"/>
        <v>9</v>
      </c>
      <c r="B41" s="25">
        <f t="shared" si="7"/>
        <v>9</v>
      </c>
      <c r="C41" s="26" t="s">
        <v>64</v>
      </c>
      <c r="D41" s="27" t="s">
        <v>164</v>
      </c>
      <c r="E41" s="28" t="s">
        <v>41</v>
      </c>
      <c r="F41" s="28" t="s">
        <v>28</v>
      </c>
      <c r="G41" s="29" t="s">
        <v>20</v>
      </c>
      <c r="H41" s="30" t="s">
        <v>21</v>
      </c>
      <c r="I41" s="31" t="s">
        <v>158</v>
      </c>
      <c r="J41" s="32" t="s">
        <v>68</v>
      </c>
      <c r="K41" s="30" t="s">
        <v>21</v>
      </c>
      <c r="L41" s="30" t="s">
        <v>21</v>
      </c>
      <c r="M41" s="30"/>
      <c r="N41" s="30" t="s">
        <v>21</v>
      </c>
      <c r="O41" s="30" t="s">
        <v>21</v>
      </c>
      <c r="P41" s="30"/>
      <c r="Q41" s="30" t="s">
        <v>21</v>
      </c>
      <c r="R41" s="30" t="s">
        <v>21</v>
      </c>
      <c r="S41" s="30"/>
      <c r="T41" s="30" t="s">
        <v>21</v>
      </c>
      <c r="U41" s="30" t="s">
        <v>21</v>
      </c>
      <c r="V41" s="30" t="s">
        <v>58</v>
      </c>
      <c r="W41" s="30" t="s">
        <v>21</v>
      </c>
      <c r="X41" s="33" t="str">
        <f t="shared" si="6"/>
        <v>#REF!</v>
      </c>
      <c r="Y41" s="49" t="s">
        <v>161</v>
      </c>
      <c r="Z41" s="46">
        <f>COUNTIF(G3:G99, "RD")</f>
        <v>1</v>
      </c>
    </row>
    <row r="42" ht="15.75" customHeight="1">
      <c r="A42" s="25">
        <f t="shared" si="1"/>
        <v>9</v>
      </c>
      <c r="B42" s="25">
        <f t="shared" si="7"/>
        <v>8</v>
      </c>
      <c r="C42" s="26" t="s">
        <v>54</v>
      </c>
      <c r="D42" s="27" t="s">
        <v>165</v>
      </c>
      <c r="E42" s="28" t="s">
        <v>61</v>
      </c>
      <c r="F42" s="28" t="s">
        <v>41</v>
      </c>
      <c r="G42" s="29" t="s">
        <v>71</v>
      </c>
      <c r="H42" s="30" t="s">
        <v>21</v>
      </c>
      <c r="I42" s="31" t="s">
        <v>158</v>
      </c>
      <c r="J42" s="32" t="s">
        <v>85</v>
      </c>
      <c r="K42" s="30" t="s">
        <v>21</v>
      </c>
      <c r="L42" s="30" t="s">
        <v>21</v>
      </c>
      <c r="M42" s="30"/>
      <c r="N42" s="30" t="s">
        <v>21</v>
      </c>
      <c r="O42" s="30" t="s">
        <v>21</v>
      </c>
      <c r="P42" s="30"/>
      <c r="Q42" s="30" t="s">
        <v>21</v>
      </c>
      <c r="R42" s="30" t="s">
        <v>21</v>
      </c>
      <c r="S42" s="30"/>
      <c r="T42" s="30" t="s">
        <v>21</v>
      </c>
      <c r="U42" s="30" t="s">
        <v>21</v>
      </c>
      <c r="V42" s="30"/>
      <c r="W42" s="30" t="s">
        <v>21</v>
      </c>
      <c r="X42" s="33" t="str">
        <f t="shared" si="6"/>
        <v>#REF!</v>
      </c>
    </row>
    <row r="43" ht="15.75" customHeight="1">
      <c r="A43" s="25">
        <f t="shared" si="1"/>
        <v>9</v>
      </c>
      <c r="B43" s="25">
        <f t="shared" si="7"/>
        <v>10</v>
      </c>
      <c r="C43" s="26" t="s">
        <v>84</v>
      </c>
      <c r="D43" s="27" t="s">
        <v>166</v>
      </c>
      <c r="E43" s="28" t="s">
        <v>19</v>
      </c>
      <c r="F43" s="28" t="s">
        <v>48</v>
      </c>
      <c r="G43" s="29" t="s">
        <v>71</v>
      </c>
      <c r="H43" s="42" t="s">
        <v>21</v>
      </c>
      <c r="I43" s="31" t="s">
        <v>158</v>
      </c>
      <c r="J43" s="32" t="s">
        <v>85</v>
      </c>
      <c r="K43" s="42" t="s">
        <v>21</v>
      </c>
      <c r="L43" s="42" t="s">
        <v>21</v>
      </c>
      <c r="M43" s="42"/>
      <c r="N43" s="42" t="s">
        <v>21</v>
      </c>
      <c r="O43" s="42" t="s">
        <v>21</v>
      </c>
      <c r="P43" s="42"/>
      <c r="Q43" s="42" t="s">
        <v>21</v>
      </c>
      <c r="R43" s="42" t="s">
        <v>21</v>
      </c>
      <c r="S43" s="42"/>
      <c r="T43" s="42" t="s">
        <v>21</v>
      </c>
      <c r="U43" s="42" t="s">
        <v>21</v>
      </c>
      <c r="V43" s="42"/>
      <c r="W43" s="42" t="s">
        <v>21</v>
      </c>
      <c r="X43" s="33" t="str">
        <f t="shared" si="6"/>
        <v>#REF!</v>
      </c>
      <c r="Y43" s="55" t="s">
        <v>167</v>
      </c>
      <c r="Z43" s="5"/>
      <c r="AA43" s="47"/>
      <c r="AB43" s="55" t="s">
        <v>168</v>
      </c>
      <c r="AC43" s="5"/>
    </row>
    <row r="44" ht="15.75" customHeight="1">
      <c r="A44" s="25">
        <f t="shared" si="1"/>
        <v>9</v>
      </c>
      <c r="B44" s="25">
        <f t="shared" si="7"/>
        <v>6</v>
      </c>
      <c r="C44" s="26" t="s">
        <v>113</v>
      </c>
      <c r="D44" s="27" t="s">
        <v>169</v>
      </c>
      <c r="E44" s="28" t="s">
        <v>41</v>
      </c>
      <c r="F44" s="28" t="s">
        <v>19</v>
      </c>
      <c r="G44" s="29" t="s">
        <v>20</v>
      </c>
      <c r="H44" s="30" t="s">
        <v>30</v>
      </c>
      <c r="I44" s="31" t="s">
        <v>158</v>
      </c>
      <c r="J44" s="32"/>
      <c r="K44" s="30" t="s">
        <v>30</v>
      </c>
      <c r="L44" s="30" t="s">
        <v>30</v>
      </c>
      <c r="M44" s="30" t="s">
        <v>30</v>
      </c>
      <c r="N44" s="30" t="s">
        <v>30</v>
      </c>
      <c r="O44" s="30" t="s">
        <v>30</v>
      </c>
      <c r="P44" s="30" t="s">
        <v>30</v>
      </c>
      <c r="Q44" s="30" t="s">
        <v>30</v>
      </c>
      <c r="R44" s="30" t="s">
        <v>30</v>
      </c>
      <c r="S44" s="30" t="s">
        <v>30</v>
      </c>
      <c r="T44" s="30" t="s">
        <v>30</v>
      </c>
      <c r="U44" s="30" t="s">
        <v>30</v>
      </c>
      <c r="V44" s="30" t="s">
        <v>30</v>
      </c>
      <c r="W44" s="30" t="s">
        <v>30</v>
      </c>
      <c r="X44" s="33" t="str">
        <f t="shared" si="6"/>
        <v>#REF!</v>
      </c>
      <c r="Y44" s="56" t="s">
        <v>9</v>
      </c>
      <c r="Z44" s="57"/>
      <c r="AA44" s="58" t="s">
        <v>170</v>
      </c>
      <c r="AB44" s="58" t="s">
        <v>171</v>
      </c>
      <c r="AC44" s="58" t="s">
        <v>176</v>
      </c>
    </row>
    <row r="45" ht="15.75" customHeight="1">
      <c r="A45" s="25">
        <f t="shared" si="1"/>
        <v>9</v>
      </c>
      <c r="B45" s="25">
        <f t="shared" si="7"/>
        <v>7</v>
      </c>
      <c r="C45" s="26" t="s">
        <v>46</v>
      </c>
      <c r="D45" s="27" t="s">
        <v>173</v>
      </c>
      <c r="E45" s="28" t="s">
        <v>76</v>
      </c>
      <c r="F45" s="28" t="s">
        <v>56</v>
      </c>
      <c r="G45" s="29" t="s">
        <v>20</v>
      </c>
      <c r="H45" s="30" t="s">
        <v>30</v>
      </c>
      <c r="I45" s="31" t="s">
        <v>158</v>
      </c>
      <c r="J45" s="32"/>
      <c r="K45" s="30" t="s">
        <v>30</v>
      </c>
      <c r="L45" s="30" t="s">
        <v>30</v>
      </c>
      <c r="M45" s="30" t="s">
        <v>30</v>
      </c>
      <c r="N45" s="30" t="s">
        <v>30</v>
      </c>
      <c r="O45" s="30" t="s">
        <v>30</v>
      </c>
      <c r="P45" s="30" t="s">
        <v>30</v>
      </c>
      <c r="Q45" s="30" t="s">
        <v>30</v>
      </c>
      <c r="R45" s="30" t="s">
        <v>30</v>
      </c>
      <c r="S45" s="30" t="s">
        <v>30</v>
      </c>
      <c r="T45" s="30" t="s">
        <v>30</v>
      </c>
      <c r="U45" s="30" t="s">
        <v>30</v>
      </c>
      <c r="V45" s="30" t="s">
        <v>30</v>
      </c>
      <c r="W45" s="30" t="s">
        <v>30</v>
      </c>
      <c r="X45" s="33" t="str">
        <f t="shared" si="6"/>
        <v>#REF!</v>
      </c>
      <c r="Y45" s="59" t="s">
        <v>178</v>
      </c>
      <c r="Z45" s="57"/>
      <c r="AA45" s="60">
        <v>43379.0</v>
      </c>
      <c r="AB45" s="61" t="s">
        <v>179</v>
      </c>
      <c r="AC45" s="61" t="s">
        <v>179</v>
      </c>
    </row>
    <row r="46" ht="15.75" customHeight="1">
      <c r="A46" s="25">
        <f t="shared" si="1"/>
        <v>9</v>
      </c>
      <c r="B46" s="25">
        <f t="shared" si="7"/>
        <v>7</v>
      </c>
      <c r="C46" s="26" t="s">
        <v>46</v>
      </c>
      <c r="D46" s="27" t="s">
        <v>174</v>
      </c>
      <c r="E46" s="28" t="s">
        <v>29</v>
      </c>
      <c r="F46" s="28" t="s">
        <v>28</v>
      </c>
      <c r="G46" s="29" t="s">
        <v>71</v>
      </c>
      <c r="H46" s="42" t="s">
        <v>21</v>
      </c>
      <c r="I46" s="31" t="s">
        <v>158</v>
      </c>
      <c r="J46" s="3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33" t="str">
        <f t="shared" si="6"/>
        <v>#REF!</v>
      </c>
      <c r="Y46" s="59" t="s">
        <v>181</v>
      </c>
      <c r="Z46" s="57"/>
      <c r="AA46" s="60">
        <v>43385.0</v>
      </c>
      <c r="AB46" s="61" t="s">
        <v>182</v>
      </c>
      <c r="AC46" s="61" t="s">
        <v>183</v>
      </c>
    </row>
    <row r="47" ht="15.75" customHeight="1">
      <c r="A47" s="25">
        <f t="shared" si="1"/>
        <v>9</v>
      </c>
      <c r="B47" s="25">
        <f t="shared" si="7"/>
        <v>9</v>
      </c>
      <c r="C47" s="26" t="s">
        <v>64</v>
      </c>
      <c r="D47" s="27" t="s">
        <v>175</v>
      </c>
      <c r="E47" s="28" t="s">
        <v>70</v>
      </c>
      <c r="F47" s="28" t="s">
        <v>41</v>
      </c>
      <c r="G47" s="29" t="s">
        <v>49</v>
      </c>
      <c r="H47" s="30" t="s">
        <v>30</v>
      </c>
      <c r="I47" s="31" t="s">
        <v>158</v>
      </c>
      <c r="J47" s="32"/>
      <c r="K47" s="30" t="s">
        <v>30</v>
      </c>
      <c r="L47" s="30" t="s">
        <v>30</v>
      </c>
      <c r="M47" s="30" t="s">
        <v>30</v>
      </c>
      <c r="N47" s="30" t="s">
        <v>30</v>
      </c>
      <c r="O47" s="30" t="s">
        <v>30</v>
      </c>
      <c r="P47" s="30" t="s">
        <v>30</v>
      </c>
      <c r="Q47" s="30" t="s">
        <v>30</v>
      </c>
      <c r="R47" s="30" t="s">
        <v>30</v>
      </c>
      <c r="S47" s="30" t="s">
        <v>30</v>
      </c>
      <c r="T47" s="30" t="s">
        <v>30</v>
      </c>
      <c r="U47" s="30" t="s">
        <v>30</v>
      </c>
      <c r="V47" s="30" t="s">
        <v>30</v>
      </c>
      <c r="W47" s="30" t="s">
        <v>30</v>
      </c>
      <c r="X47" s="33" t="str">
        <f t="shared" si="6"/>
        <v>#REF!</v>
      </c>
      <c r="Y47" s="59" t="s">
        <v>186</v>
      </c>
      <c r="Z47" s="57"/>
      <c r="AA47" s="60">
        <v>43384.0</v>
      </c>
      <c r="AB47" s="61" t="s">
        <v>182</v>
      </c>
      <c r="AC47" s="61"/>
    </row>
    <row r="48" ht="15.75" customHeight="1">
      <c r="A48" s="25">
        <f t="shared" si="1"/>
        <v>9</v>
      </c>
      <c r="B48" s="25">
        <f t="shared" si="7"/>
        <v>10</v>
      </c>
      <c r="C48" s="26" t="s">
        <v>84</v>
      </c>
      <c r="D48" s="27" t="s">
        <v>177</v>
      </c>
      <c r="E48" s="28" t="s">
        <v>19</v>
      </c>
      <c r="F48" s="28" t="s">
        <v>70</v>
      </c>
      <c r="G48" s="29" t="s">
        <v>71</v>
      </c>
      <c r="H48" s="34" t="s">
        <v>21</v>
      </c>
      <c r="I48" s="31" t="s">
        <v>158</v>
      </c>
      <c r="J48" s="32" t="s">
        <v>68</v>
      </c>
      <c r="K48" s="30" t="s">
        <v>21</v>
      </c>
      <c r="L48" s="30" t="s">
        <v>21</v>
      </c>
      <c r="M48" s="30"/>
      <c r="N48" s="30" t="s">
        <v>21</v>
      </c>
      <c r="O48" s="30" t="s">
        <v>21</v>
      </c>
      <c r="P48" s="30"/>
      <c r="Q48" s="30" t="s">
        <v>21</v>
      </c>
      <c r="R48" s="30" t="s">
        <v>21</v>
      </c>
      <c r="S48" s="30"/>
      <c r="T48" s="30" t="s">
        <v>21</v>
      </c>
      <c r="U48" s="30" t="s">
        <v>24</v>
      </c>
      <c r="V48" s="30"/>
      <c r="W48" s="30" t="s">
        <v>21</v>
      </c>
      <c r="X48" s="33" t="str">
        <f t="shared" si="6"/>
        <v>#REF!</v>
      </c>
      <c r="Y48" s="59"/>
      <c r="Z48" s="57"/>
      <c r="AA48" s="60"/>
      <c r="AB48" s="61"/>
      <c r="AC48" s="61"/>
    </row>
    <row r="49" ht="15.75" customHeight="1">
      <c r="A49" s="25">
        <f t="shared" si="1"/>
        <v>11</v>
      </c>
      <c r="B49" s="25">
        <f t="shared" si="7"/>
        <v>6</v>
      </c>
      <c r="C49" s="26" t="s">
        <v>113</v>
      </c>
      <c r="D49" s="27" t="s">
        <v>180</v>
      </c>
      <c r="E49" s="28" t="s">
        <v>48</v>
      </c>
      <c r="F49" s="28" t="s">
        <v>28</v>
      </c>
      <c r="G49" s="29" t="s">
        <v>20</v>
      </c>
      <c r="H49" s="30" t="s">
        <v>21</v>
      </c>
      <c r="I49" s="31" t="s">
        <v>89</v>
      </c>
      <c r="J49" s="32" t="s">
        <v>68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3" t="str">
        <f t="shared" si="6"/>
        <v>#REF!</v>
      </c>
      <c r="Y49" s="59"/>
      <c r="Z49" s="57"/>
      <c r="AA49" s="60"/>
      <c r="AB49" s="61"/>
      <c r="AC49" s="61"/>
    </row>
    <row r="50" ht="15.75" customHeight="1">
      <c r="A50" s="25">
        <f t="shared" si="1"/>
        <v>11</v>
      </c>
      <c r="B50" s="25">
        <f t="shared" si="7"/>
        <v>5</v>
      </c>
      <c r="C50" s="26" t="s">
        <v>184</v>
      </c>
      <c r="D50" s="27" t="s">
        <v>185</v>
      </c>
      <c r="E50" s="28" t="s">
        <v>70</v>
      </c>
      <c r="F50" s="28" t="s">
        <v>19</v>
      </c>
      <c r="G50" s="29" t="s">
        <v>71</v>
      </c>
      <c r="H50" s="30" t="s">
        <v>21</v>
      </c>
      <c r="I50" s="31" t="s">
        <v>89</v>
      </c>
      <c r="J50" s="32"/>
      <c r="K50" s="30" t="s">
        <v>21</v>
      </c>
      <c r="L50" s="30" t="s">
        <v>21</v>
      </c>
      <c r="M50" s="30"/>
      <c r="N50" s="30" t="s">
        <v>21</v>
      </c>
      <c r="O50" s="30" t="s">
        <v>21</v>
      </c>
      <c r="P50" s="30"/>
      <c r="Q50" s="30" t="s">
        <v>21</v>
      </c>
      <c r="R50" s="30" t="s">
        <v>21</v>
      </c>
      <c r="S50" s="30"/>
      <c r="T50" s="30" t="s">
        <v>21</v>
      </c>
      <c r="U50" s="30" t="s">
        <v>21</v>
      </c>
      <c r="V50" s="30"/>
      <c r="W50" s="30" t="s">
        <v>21</v>
      </c>
      <c r="X50" s="33" t="str">
        <f t="shared" si="6"/>
        <v>#REF!</v>
      </c>
      <c r="Y50" s="59"/>
      <c r="Z50" s="57"/>
      <c r="AA50" s="60"/>
      <c r="AB50" s="61"/>
      <c r="AC50" s="61"/>
    </row>
    <row r="51" ht="15.75" customHeight="1">
      <c r="A51" s="25">
        <f t="shared" si="1"/>
        <v>11</v>
      </c>
      <c r="B51" s="25">
        <f t="shared" si="7"/>
        <v>9</v>
      </c>
      <c r="C51" s="26" t="s">
        <v>64</v>
      </c>
      <c r="D51" s="27" t="s">
        <v>187</v>
      </c>
      <c r="E51" s="28" t="s">
        <v>61</v>
      </c>
      <c r="F51" s="28" t="s">
        <v>41</v>
      </c>
      <c r="G51" s="29" t="s">
        <v>163</v>
      </c>
      <c r="H51" s="30" t="s">
        <v>30</v>
      </c>
      <c r="I51" s="31" t="s">
        <v>89</v>
      </c>
      <c r="J51" s="32"/>
      <c r="K51" s="30" t="s">
        <v>30</v>
      </c>
      <c r="L51" s="30" t="s">
        <v>30</v>
      </c>
      <c r="M51" s="30" t="s">
        <v>30</v>
      </c>
      <c r="N51" s="30" t="s">
        <v>30</v>
      </c>
      <c r="O51" s="30" t="s">
        <v>30</v>
      </c>
      <c r="P51" s="30" t="s">
        <v>30</v>
      </c>
      <c r="Q51" s="30" t="s">
        <v>30</v>
      </c>
      <c r="R51" s="30" t="s">
        <v>30</v>
      </c>
      <c r="S51" s="30" t="s">
        <v>30</v>
      </c>
      <c r="T51" s="30" t="s">
        <v>30</v>
      </c>
      <c r="U51" s="30" t="s">
        <v>30</v>
      </c>
      <c r="V51" s="30" t="s">
        <v>30</v>
      </c>
      <c r="W51" s="30" t="s">
        <v>30</v>
      </c>
      <c r="X51" s="33" t="str">
        <f t="shared" si="6"/>
        <v>#REF!</v>
      </c>
      <c r="Y51" s="59"/>
      <c r="Z51" s="57"/>
      <c r="AA51" s="60"/>
      <c r="AB51" s="61"/>
      <c r="AC51" s="61"/>
    </row>
    <row r="52" ht="15.75" customHeight="1">
      <c r="A52" s="25">
        <f t="shared" si="1"/>
        <v>12</v>
      </c>
      <c r="B52" s="25">
        <f t="shared" si="7"/>
        <v>7</v>
      </c>
      <c r="C52" s="26" t="s">
        <v>46</v>
      </c>
      <c r="D52" s="27" t="s">
        <v>188</v>
      </c>
      <c r="E52" s="28" t="s">
        <v>48</v>
      </c>
      <c r="F52" s="28" t="s">
        <v>61</v>
      </c>
      <c r="G52" s="29" t="s">
        <v>62</v>
      </c>
      <c r="H52" s="30" t="s">
        <v>21</v>
      </c>
      <c r="I52" s="31" t="s">
        <v>92</v>
      </c>
      <c r="J52" s="32" t="s">
        <v>189</v>
      </c>
      <c r="K52" s="30" t="s">
        <v>21</v>
      </c>
      <c r="L52" s="30" t="s">
        <v>21</v>
      </c>
      <c r="M52" s="30"/>
      <c r="N52" s="30" t="s">
        <v>21</v>
      </c>
      <c r="O52" s="30" t="s">
        <v>21</v>
      </c>
      <c r="P52" s="30"/>
      <c r="Q52" s="30" t="s">
        <v>21</v>
      </c>
      <c r="R52" s="30" t="s">
        <v>21</v>
      </c>
      <c r="S52" s="30"/>
      <c r="T52" s="30" t="s">
        <v>21</v>
      </c>
      <c r="U52" s="30" t="s">
        <v>21</v>
      </c>
      <c r="V52" s="30" t="s">
        <v>58</v>
      </c>
      <c r="W52" s="30" t="s">
        <v>21</v>
      </c>
      <c r="X52" s="33" t="str">
        <f t="shared" si="6"/>
        <v>#REF!</v>
      </c>
      <c r="Y52" s="59"/>
      <c r="Z52" s="57"/>
      <c r="AA52" s="60"/>
      <c r="AB52" s="61"/>
      <c r="AC52" s="61"/>
    </row>
    <row r="53" ht="15.75" customHeight="1">
      <c r="A53" s="25">
        <f t="shared" si="1"/>
        <v>12</v>
      </c>
      <c r="B53" s="25">
        <f t="shared" si="7"/>
        <v>6</v>
      </c>
      <c r="C53" s="26" t="s">
        <v>113</v>
      </c>
      <c r="D53" s="27" t="s">
        <v>190</v>
      </c>
      <c r="E53" s="28" t="s">
        <v>70</v>
      </c>
      <c r="F53" s="28" t="s">
        <v>48</v>
      </c>
      <c r="G53" s="29" t="s">
        <v>191</v>
      </c>
      <c r="H53" s="30" t="s">
        <v>21</v>
      </c>
      <c r="I53" s="31" t="s">
        <v>92</v>
      </c>
      <c r="J53" s="32" t="s">
        <v>192</v>
      </c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3" t="str">
        <f t="shared" si="6"/>
        <v>#REF!</v>
      </c>
      <c r="Y53" s="59"/>
      <c r="Z53" s="57"/>
      <c r="AA53" s="60"/>
      <c r="AB53" s="61"/>
      <c r="AC53" s="61"/>
    </row>
    <row r="54" ht="15.75" customHeight="1">
      <c r="A54" s="25">
        <f t="shared" si="1"/>
        <v>12</v>
      </c>
      <c r="B54" s="25">
        <f t="shared" si="7"/>
        <v>8</v>
      </c>
      <c r="C54" s="26" t="s">
        <v>54</v>
      </c>
      <c r="D54" s="27" t="s">
        <v>193</v>
      </c>
      <c r="E54" s="28" t="s">
        <v>19</v>
      </c>
      <c r="F54" s="28"/>
      <c r="G54" s="29" t="s">
        <v>49</v>
      </c>
      <c r="H54" s="30" t="s">
        <v>30</v>
      </c>
      <c r="I54" s="31" t="s">
        <v>92</v>
      </c>
      <c r="J54" s="32" t="s">
        <v>194</v>
      </c>
      <c r="K54" s="30" t="s">
        <v>30</v>
      </c>
      <c r="L54" s="30" t="s">
        <v>30</v>
      </c>
      <c r="M54" s="30" t="s">
        <v>30</v>
      </c>
      <c r="N54" s="30" t="s">
        <v>30</v>
      </c>
      <c r="O54" s="30" t="s">
        <v>30</v>
      </c>
      <c r="P54" s="30" t="s">
        <v>30</v>
      </c>
      <c r="Q54" s="30" t="s">
        <v>30</v>
      </c>
      <c r="R54" s="30" t="s">
        <v>30</v>
      </c>
      <c r="S54" s="30" t="s">
        <v>30</v>
      </c>
      <c r="T54" s="30" t="s">
        <v>30</v>
      </c>
      <c r="U54" s="30" t="s">
        <v>30</v>
      </c>
      <c r="V54" s="30" t="s">
        <v>30</v>
      </c>
      <c r="W54" s="30" t="s">
        <v>30</v>
      </c>
      <c r="X54" s="33" t="str">
        <f t="shared" si="6"/>
        <v>#REF!</v>
      </c>
      <c r="Y54" s="59"/>
      <c r="Z54" s="57"/>
      <c r="AA54" s="60"/>
      <c r="AB54" s="61"/>
      <c r="AC54" s="61"/>
    </row>
    <row r="55" ht="15.75" customHeight="1">
      <c r="A55" s="25">
        <f t="shared" si="1"/>
        <v>12</v>
      </c>
      <c r="B55" s="25">
        <f t="shared" si="7"/>
        <v>6</v>
      </c>
      <c r="C55" s="26" t="s">
        <v>113</v>
      </c>
      <c r="D55" s="27" t="s">
        <v>196</v>
      </c>
      <c r="E55" s="28" t="s">
        <v>70</v>
      </c>
      <c r="F55" s="28" t="s">
        <v>61</v>
      </c>
      <c r="G55" s="29" t="s">
        <v>20</v>
      </c>
      <c r="H55" s="30" t="s">
        <v>21</v>
      </c>
      <c r="I55" s="31" t="s">
        <v>92</v>
      </c>
      <c r="J55" s="32" t="s">
        <v>197</v>
      </c>
      <c r="K55" s="30" t="s">
        <v>21</v>
      </c>
      <c r="L55" s="30" t="s">
        <v>21</v>
      </c>
      <c r="M55" s="30"/>
      <c r="N55" s="30" t="s">
        <v>21</v>
      </c>
      <c r="O55" s="30" t="s">
        <v>21</v>
      </c>
      <c r="P55" s="30"/>
      <c r="Q55" s="30" t="s">
        <v>21</v>
      </c>
      <c r="R55" s="30" t="s">
        <v>21</v>
      </c>
      <c r="S55" s="30"/>
      <c r="T55" s="30" t="s">
        <v>21</v>
      </c>
      <c r="U55" s="30" t="s">
        <v>21</v>
      </c>
      <c r="V55" s="30" t="s">
        <v>58</v>
      </c>
      <c r="W55" s="30" t="s">
        <v>21</v>
      </c>
      <c r="X55" s="33" t="str">
        <f t="shared" si="6"/>
        <v>#REF!</v>
      </c>
      <c r="Y55" s="59"/>
      <c r="Z55" s="57"/>
      <c r="AA55" s="60"/>
      <c r="AB55" s="61"/>
      <c r="AC55" s="61"/>
    </row>
    <row r="56" ht="15.75" customHeight="1">
      <c r="A56" s="25">
        <f t="shared" si="1"/>
        <v>12</v>
      </c>
      <c r="B56" s="25">
        <f t="shared" si="7"/>
        <v>9</v>
      </c>
      <c r="C56" s="26" t="s">
        <v>64</v>
      </c>
      <c r="D56" s="62" t="s">
        <v>198</v>
      </c>
      <c r="E56" s="28" t="s">
        <v>70</v>
      </c>
      <c r="F56" s="28" t="s">
        <v>61</v>
      </c>
      <c r="G56" s="29" t="s">
        <v>71</v>
      </c>
      <c r="H56" s="30" t="s">
        <v>21</v>
      </c>
      <c r="I56" s="31" t="s">
        <v>92</v>
      </c>
      <c r="J56" s="32" t="s">
        <v>199</v>
      </c>
      <c r="K56" s="30" t="s">
        <v>21</v>
      </c>
      <c r="L56" s="30" t="s">
        <v>21</v>
      </c>
      <c r="M56" s="30"/>
      <c r="N56" s="30" t="s">
        <v>21</v>
      </c>
      <c r="O56" s="30" t="s">
        <v>21</v>
      </c>
      <c r="P56" s="30"/>
      <c r="Q56" s="30" t="s">
        <v>21</v>
      </c>
      <c r="R56" s="30" t="s">
        <v>21</v>
      </c>
      <c r="S56" s="30"/>
      <c r="T56" s="30" t="s">
        <v>21</v>
      </c>
      <c r="U56" s="30" t="s">
        <v>21</v>
      </c>
      <c r="V56" s="30" t="s">
        <v>58</v>
      </c>
      <c r="W56" s="30" t="s">
        <v>21</v>
      </c>
      <c r="X56" s="33" t="str">
        <f t="shared" si="6"/>
        <v>#REF!</v>
      </c>
      <c r="Y56" s="59"/>
      <c r="Z56" s="57"/>
      <c r="AA56" s="60"/>
      <c r="AB56" s="61"/>
      <c r="AC56" s="61"/>
    </row>
    <row r="57" ht="15.75" customHeight="1">
      <c r="A57" s="25">
        <f t="shared" si="1"/>
        <v>12</v>
      </c>
      <c r="B57" s="25">
        <f t="shared" si="7"/>
        <v>10</v>
      </c>
      <c r="C57" s="26" t="s">
        <v>84</v>
      </c>
      <c r="D57" s="27" t="s">
        <v>200</v>
      </c>
      <c r="E57" s="28" t="s">
        <v>19</v>
      </c>
      <c r="F57" s="28" t="s">
        <v>70</v>
      </c>
      <c r="G57" s="29" t="s">
        <v>71</v>
      </c>
      <c r="H57" s="30" t="s">
        <v>21</v>
      </c>
      <c r="I57" s="31" t="s">
        <v>92</v>
      </c>
      <c r="J57" s="32" t="s">
        <v>199</v>
      </c>
      <c r="K57" s="30" t="s">
        <v>21</v>
      </c>
      <c r="L57" s="30" t="s">
        <v>21</v>
      </c>
      <c r="M57" s="30"/>
      <c r="N57" s="30" t="s">
        <v>21</v>
      </c>
      <c r="O57" s="30" t="s">
        <v>21</v>
      </c>
      <c r="P57" s="30"/>
      <c r="Q57" s="30" t="s">
        <v>21</v>
      </c>
      <c r="R57" s="30" t="s">
        <v>21</v>
      </c>
      <c r="S57" s="30"/>
      <c r="T57" s="30" t="s">
        <v>21</v>
      </c>
      <c r="U57" s="30" t="s">
        <v>21</v>
      </c>
      <c r="V57" s="30" t="s">
        <v>58</v>
      </c>
      <c r="W57" s="30" t="s">
        <v>21</v>
      </c>
      <c r="X57" s="33" t="str">
        <f t="shared" si="6"/>
        <v>#REF!</v>
      </c>
      <c r="Y57" s="59"/>
      <c r="Z57" s="57"/>
      <c r="AA57" s="60"/>
      <c r="AB57" s="61"/>
      <c r="AC57" s="61"/>
    </row>
    <row r="58" ht="15.75" customHeight="1">
      <c r="A58" s="25">
        <f t="shared" si="1"/>
        <v>12</v>
      </c>
      <c r="B58" s="25">
        <f t="shared" si="7"/>
        <v>10</v>
      </c>
      <c r="C58" s="26" t="s">
        <v>84</v>
      </c>
      <c r="D58" s="27" t="s">
        <v>201</v>
      </c>
      <c r="E58" s="28" t="s">
        <v>19</v>
      </c>
      <c r="F58" s="28"/>
      <c r="G58" s="29" t="s">
        <v>62</v>
      </c>
      <c r="H58" s="30" t="s">
        <v>21</v>
      </c>
      <c r="I58" s="31" t="s">
        <v>92</v>
      </c>
      <c r="J58" s="32" t="s">
        <v>202</v>
      </c>
      <c r="K58" s="30" t="s">
        <v>21</v>
      </c>
      <c r="L58" s="63" t="s">
        <v>21</v>
      </c>
      <c r="M58" s="30"/>
      <c r="N58" s="30" t="s">
        <v>21</v>
      </c>
      <c r="O58" s="30" t="s">
        <v>21</v>
      </c>
      <c r="P58" s="30"/>
      <c r="Q58" s="30" t="s">
        <v>21</v>
      </c>
      <c r="R58" s="30" t="s">
        <v>21</v>
      </c>
      <c r="S58" s="30"/>
      <c r="T58" s="30" t="s">
        <v>24</v>
      </c>
      <c r="U58" s="30" t="s">
        <v>24</v>
      </c>
      <c r="V58" s="30"/>
      <c r="W58" s="30" t="s">
        <v>21</v>
      </c>
      <c r="X58" s="33" t="str">
        <f t="shared" si="6"/>
        <v>#REF!</v>
      </c>
    </row>
    <row r="59" ht="15.75" customHeight="1">
      <c r="A59" s="25">
        <f t="shared" si="1"/>
        <v>12</v>
      </c>
      <c r="B59" s="25">
        <f t="shared" si="7"/>
        <v>10</v>
      </c>
      <c r="C59" s="26" t="s">
        <v>84</v>
      </c>
      <c r="D59" s="27" t="s">
        <v>203</v>
      </c>
      <c r="E59" s="28" t="s">
        <v>61</v>
      </c>
      <c r="F59" s="28" t="s">
        <v>41</v>
      </c>
      <c r="G59" s="29" t="s">
        <v>71</v>
      </c>
      <c r="H59" s="30" t="s">
        <v>21</v>
      </c>
      <c r="I59" s="31" t="s">
        <v>92</v>
      </c>
      <c r="J59" s="32" t="s">
        <v>204</v>
      </c>
      <c r="K59" s="30" t="s">
        <v>33</v>
      </c>
      <c r="L59" s="30" t="s">
        <v>33</v>
      </c>
      <c r="M59" s="30"/>
      <c r="N59" s="30" t="s">
        <v>33</v>
      </c>
      <c r="O59" s="30" t="s">
        <v>33</v>
      </c>
      <c r="P59" s="30"/>
      <c r="Q59" s="30" t="s">
        <v>33</v>
      </c>
      <c r="R59" s="30" t="s">
        <v>33</v>
      </c>
      <c r="S59" s="30"/>
      <c r="T59" s="30" t="s">
        <v>33</v>
      </c>
      <c r="U59" s="30" t="s">
        <v>33</v>
      </c>
      <c r="V59" s="30"/>
      <c r="W59" s="30" t="s">
        <v>33</v>
      </c>
      <c r="X59" s="33" t="str">
        <f t="shared" si="6"/>
        <v>#REF!</v>
      </c>
    </row>
    <row r="60" ht="15.75" customHeight="1">
      <c r="A60" s="25">
        <f t="shared" si="1"/>
        <v>12</v>
      </c>
      <c r="B60" s="25">
        <f t="shared" si="7"/>
        <v>10</v>
      </c>
      <c r="C60" s="26" t="s">
        <v>84</v>
      </c>
      <c r="D60" s="27" t="s">
        <v>209</v>
      </c>
      <c r="E60" s="28" t="s">
        <v>19</v>
      </c>
      <c r="F60" s="28"/>
      <c r="G60" s="29" t="s">
        <v>71</v>
      </c>
      <c r="H60" s="30" t="s">
        <v>21</v>
      </c>
      <c r="I60" s="31" t="s">
        <v>92</v>
      </c>
      <c r="J60" s="32" t="s">
        <v>204</v>
      </c>
      <c r="K60" s="30" t="s">
        <v>37</v>
      </c>
      <c r="L60" s="30" t="s">
        <v>37</v>
      </c>
      <c r="M60" s="30" t="s">
        <v>37</v>
      </c>
      <c r="N60" s="30" t="s">
        <v>37</v>
      </c>
      <c r="O60" s="30" t="s">
        <v>37</v>
      </c>
      <c r="P60" s="30" t="s">
        <v>37</v>
      </c>
      <c r="Q60" s="30" t="s">
        <v>37</v>
      </c>
      <c r="R60" s="30" t="s">
        <v>37</v>
      </c>
      <c r="S60" s="30" t="s">
        <v>37</v>
      </c>
      <c r="T60" s="30" t="s">
        <v>37</v>
      </c>
      <c r="U60" s="30" t="s">
        <v>37</v>
      </c>
      <c r="V60" s="30" t="s">
        <v>37</v>
      </c>
      <c r="W60" s="30" t="s">
        <v>37</v>
      </c>
      <c r="X60" s="33" t="str">
        <f t="shared" si="6"/>
        <v>#REF!</v>
      </c>
      <c r="Y60" s="64" t="s">
        <v>206</v>
      </c>
      <c r="Z60" s="4"/>
      <c r="AA60" s="4"/>
      <c r="AB60" s="4"/>
      <c r="AC60" s="5"/>
    </row>
    <row r="61" ht="15.75" customHeight="1">
      <c r="A61" s="25">
        <f t="shared" si="1"/>
        <v>12</v>
      </c>
      <c r="B61" s="25">
        <f t="shared" si="7"/>
        <v>9</v>
      </c>
      <c r="C61" s="26" t="s">
        <v>64</v>
      </c>
      <c r="D61" s="27" t="s">
        <v>205</v>
      </c>
      <c r="E61" s="28" t="s">
        <v>19</v>
      </c>
      <c r="F61" s="28"/>
      <c r="G61" s="29" t="s">
        <v>163</v>
      </c>
      <c r="H61" s="30" t="s">
        <v>30</v>
      </c>
      <c r="I61" s="31" t="s">
        <v>92</v>
      </c>
      <c r="J61" s="32"/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0" t="s">
        <v>30</v>
      </c>
      <c r="X61" s="33" t="str">
        <f t="shared" si="6"/>
        <v>#REF!</v>
      </c>
      <c r="Y61" s="65" t="s">
        <v>212</v>
      </c>
      <c r="Z61" s="4"/>
      <c r="AA61" s="4"/>
      <c r="AB61" s="4"/>
      <c r="AC61" s="5"/>
    </row>
    <row r="62" ht="15.75" customHeight="1">
      <c r="A62" s="25">
        <f t="shared" si="1"/>
        <v>12</v>
      </c>
      <c r="B62" s="25">
        <f t="shared" si="7"/>
        <v>10</v>
      </c>
      <c r="C62" s="26" t="s">
        <v>84</v>
      </c>
      <c r="D62" s="27" t="s">
        <v>207</v>
      </c>
      <c r="E62" s="28" t="s">
        <v>19</v>
      </c>
      <c r="F62" s="28"/>
      <c r="G62" s="29" t="s">
        <v>49</v>
      </c>
      <c r="H62" s="30" t="s">
        <v>30</v>
      </c>
      <c r="I62" s="31" t="s">
        <v>92</v>
      </c>
      <c r="J62" s="32"/>
      <c r="K62" s="30" t="s">
        <v>30</v>
      </c>
      <c r="L62" s="30" t="s">
        <v>30</v>
      </c>
      <c r="M62" s="30" t="s">
        <v>30</v>
      </c>
      <c r="N62" s="30" t="s">
        <v>30</v>
      </c>
      <c r="O62" s="30" t="s">
        <v>30</v>
      </c>
      <c r="P62" s="30" t="s">
        <v>30</v>
      </c>
      <c r="Q62" s="30" t="s">
        <v>30</v>
      </c>
      <c r="R62" s="30" t="s">
        <v>30</v>
      </c>
      <c r="S62" s="30" t="s">
        <v>30</v>
      </c>
      <c r="T62" s="30" t="s">
        <v>30</v>
      </c>
      <c r="U62" s="30" t="s">
        <v>30</v>
      </c>
      <c r="V62" s="30" t="s">
        <v>30</v>
      </c>
      <c r="W62" s="30" t="s">
        <v>30</v>
      </c>
      <c r="X62" s="33" t="str">
        <f t="shared" si="6"/>
        <v>#REF!</v>
      </c>
      <c r="Y62" s="65" t="s">
        <v>214</v>
      </c>
      <c r="Z62" s="4"/>
      <c r="AA62" s="4"/>
      <c r="AB62" s="4"/>
      <c r="AC62" s="5"/>
    </row>
    <row r="63" ht="15.75" customHeight="1">
      <c r="A63" s="25">
        <f t="shared" si="1"/>
        <v>13</v>
      </c>
      <c r="B63" s="25">
        <f t="shared" si="7"/>
        <v>8</v>
      </c>
      <c r="C63" s="26" t="s">
        <v>54</v>
      </c>
      <c r="D63" s="27" t="s">
        <v>208</v>
      </c>
      <c r="E63" s="28" t="s">
        <v>41</v>
      </c>
      <c r="F63" s="28" t="s">
        <v>56</v>
      </c>
      <c r="G63" s="29" t="s">
        <v>71</v>
      </c>
      <c r="H63" s="30" t="s">
        <v>21</v>
      </c>
      <c r="I63" s="31" t="s">
        <v>95</v>
      </c>
      <c r="J63" s="32" t="s">
        <v>210</v>
      </c>
      <c r="K63" s="30" t="s">
        <v>21</v>
      </c>
      <c r="L63" s="30" t="s">
        <v>24</v>
      </c>
      <c r="M63" s="30"/>
      <c r="N63" s="30" t="s">
        <v>21</v>
      </c>
      <c r="O63" s="30" t="s">
        <v>21</v>
      </c>
      <c r="P63" s="30"/>
      <c r="Q63" s="30" t="s">
        <v>21</v>
      </c>
      <c r="R63" s="30" t="s">
        <v>21</v>
      </c>
      <c r="S63" s="30"/>
      <c r="T63" s="30"/>
      <c r="U63" s="30"/>
      <c r="V63" s="30"/>
      <c r="W63" s="30"/>
      <c r="X63" s="33" t="str">
        <f t="shared" si="6"/>
        <v>#REF!</v>
      </c>
      <c r="Y63" s="65"/>
      <c r="Z63" s="4"/>
      <c r="AA63" s="4"/>
      <c r="AB63" s="4"/>
      <c r="AC63" s="5"/>
    </row>
    <row r="64" ht="1.5" customHeight="1">
      <c r="A64" s="25">
        <f t="shared" si="1"/>
        <v>13</v>
      </c>
      <c r="B64" s="25">
        <f t="shared" si="7"/>
        <v>9</v>
      </c>
      <c r="C64" s="26" t="s">
        <v>64</v>
      </c>
      <c r="D64" s="27" t="s">
        <v>211</v>
      </c>
      <c r="E64" s="28" t="s">
        <v>61</v>
      </c>
      <c r="F64" s="28" t="s">
        <v>19</v>
      </c>
      <c r="G64" s="29" t="s">
        <v>62</v>
      </c>
      <c r="H64" s="30" t="s">
        <v>21</v>
      </c>
      <c r="I64" s="31" t="s">
        <v>95</v>
      </c>
      <c r="J64" s="32" t="s">
        <v>210</v>
      </c>
      <c r="K64" s="30" t="s">
        <v>21</v>
      </c>
      <c r="L64" s="30" t="s">
        <v>21</v>
      </c>
      <c r="M64" s="30"/>
      <c r="N64" s="30" t="s">
        <v>21</v>
      </c>
      <c r="O64" s="30" t="s">
        <v>21</v>
      </c>
      <c r="P64" s="30"/>
      <c r="Q64" s="30"/>
      <c r="R64" s="30"/>
      <c r="S64" s="30"/>
      <c r="T64" s="30"/>
      <c r="U64" s="30"/>
      <c r="V64" s="30"/>
      <c r="W64" s="30"/>
      <c r="X64" s="33" t="str">
        <f t="shared" si="6"/>
        <v>#REF!</v>
      </c>
      <c r="Y64" s="65"/>
      <c r="Z64" s="4"/>
      <c r="AA64" s="4"/>
      <c r="AB64" s="4"/>
      <c r="AC64" s="5"/>
    </row>
    <row r="65" ht="15.75" customHeight="1">
      <c r="A65" s="25">
        <f t="shared" si="1"/>
        <v>13</v>
      </c>
      <c r="B65" s="25">
        <f t="shared" si="7"/>
        <v>11</v>
      </c>
      <c r="C65" s="26" t="s">
        <v>79</v>
      </c>
      <c r="D65" s="27" t="s">
        <v>213</v>
      </c>
      <c r="E65" s="28" t="s">
        <v>19</v>
      </c>
      <c r="F65" s="28"/>
      <c r="G65" s="29" t="s">
        <v>49</v>
      </c>
      <c r="H65" s="42" t="s">
        <v>21</v>
      </c>
      <c r="I65" s="31" t="s">
        <v>95</v>
      </c>
      <c r="J65" s="32" t="s">
        <v>210</v>
      </c>
      <c r="K65" s="30" t="s">
        <v>21</v>
      </c>
      <c r="L65" s="42" t="s">
        <v>21</v>
      </c>
      <c r="M65" s="30"/>
      <c r="N65" s="30" t="s">
        <v>21</v>
      </c>
      <c r="O65" s="42" t="s">
        <v>21</v>
      </c>
      <c r="P65" s="30"/>
      <c r="Q65" s="30"/>
      <c r="R65" s="42"/>
      <c r="S65" s="30"/>
      <c r="T65" s="30"/>
      <c r="U65" s="42"/>
      <c r="V65" s="30"/>
      <c r="W65" s="42"/>
      <c r="X65" s="33" t="str">
        <f t="shared" si="6"/>
        <v>#REF!</v>
      </c>
      <c r="Y65" s="65"/>
      <c r="Z65" s="4"/>
      <c r="AA65" s="4"/>
      <c r="AB65" s="4"/>
      <c r="AC65" s="5"/>
    </row>
    <row r="66" ht="15.75" customHeight="1">
      <c r="A66" s="25">
        <f t="shared" si="1"/>
        <v>13</v>
      </c>
      <c r="B66" s="25">
        <f t="shared" si="7"/>
        <v>8</v>
      </c>
      <c r="C66" s="26" t="s">
        <v>54</v>
      </c>
      <c r="D66" s="27" t="s">
        <v>215</v>
      </c>
      <c r="E66" s="28" t="s">
        <v>41</v>
      </c>
      <c r="F66" s="28" t="s">
        <v>76</v>
      </c>
      <c r="G66" s="29" t="s">
        <v>71</v>
      </c>
      <c r="H66" s="30" t="s">
        <v>21</v>
      </c>
      <c r="I66" s="31" t="s">
        <v>95</v>
      </c>
      <c r="J66" s="32" t="s">
        <v>216</v>
      </c>
      <c r="K66" s="30" t="s">
        <v>24</v>
      </c>
      <c r="L66" s="30" t="s">
        <v>21</v>
      </c>
      <c r="M66" s="30"/>
      <c r="N66" s="30" t="s">
        <v>21</v>
      </c>
      <c r="O66" s="30" t="s">
        <v>21</v>
      </c>
      <c r="P66" s="30"/>
      <c r="Q66" s="30" t="s">
        <v>21</v>
      </c>
      <c r="R66" s="30" t="s">
        <v>21</v>
      </c>
      <c r="S66" s="30"/>
      <c r="T66" s="30"/>
      <c r="U66" s="30"/>
      <c r="V66" s="30"/>
      <c r="W66" s="30"/>
      <c r="X66" s="33" t="str">
        <f t="shared" si="6"/>
        <v>#REF!</v>
      </c>
      <c r="Y66" s="65"/>
      <c r="Z66" s="4"/>
      <c r="AA66" s="4"/>
      <c r="AB66" s="4"/>
      <c r="AC66" s="5"/>
    </row>
    <row r="67" ht="15.75" customHeight="1">
      <c r="A67" s="25">
        <f t="shared" si="1"/>
        <v>15</v>
      </c>
      <c r="B67" s="25">
        <f t="shared" si="7"/>
        <v>9</v>
      </c>
      <c r="C67" s="26" t="s">
        <v>64</v>
      </c>
      <c r="D67" s="27" t="s">
        <v>217</v>
      </c>
      <c r="E67" s="28" t="s">
        <v>61</v>
      </c>
      <c r="F67" s="28" t="s">
        <v>70</v>
      </c>
      <c r="G67" s="29" t="s">
        <v>20</v>
      </c>
      <c r="H67" s="30" t="s">
        <v>30</v>
      </c>
      <c r="I67" s="31" t="s">
        <v>101</v>
      </c>
      <c r="J67" s="32" t="s">
        <v>68</v>
      </c>
      <c r="K67" s="30" t="s">
        <v>30</v>
      </c>
      <c r="L67" s="30" t="s">
        <v>30</v>
      </c>
      <c r="M67" s="30" t="s">
        <v>30</v>
      </c>
      <c r="N67" s="30" t="s">
        <v>30</v>
      </c>
      <c r="O67" s="30" t="s">
        <v>30</v>
      </c>
      <c r="P67" s="30" t="s">
        <v>30</v>
      </c>
      <c r="Q67" s="30" t="s">
        <v>30</v>
      </c>
      <c r="R67" s="30" t="s">
        <v>30</v>
      </c>
      <c r="S67" s="30" t="s">
        <v>30</v>
      </c>
      <c r="T67" s="30" t="s">
        <v>30</v>
      </c>
      <c r="U67" s="30" t="s">
        <v>30</v>
      </c>
      <c r="V67" s="30" t="s">
        <v>30</v>
      </c>
      <c r="W67" s="30" t="s">
        <v>30</v>
      </c>
      <c r="X67" s="33" t="str">
        <f>SUM( (COUNTIF(K67,"A") + (COUNTIF(K67,"T")/2) + (COUNTIF(K67,"O")/2) )+ (COUNTIF(L67,"A") + (COUNTIF(L67,"T")/2) + (COUNTIF(L67,"O")/2) )+ (COUNTIF(M67,"A") + (COUNTIF(M67,"T")/2) + (COUNTIF(M67,"O")/2) )+ (COUNTIF(N67,"A") + (COUNTIF(N67,"T")/2) + (COUNTIF(N67,"O")/2) )+ (COUNTIF(#REF!,"A") + (COUNTIF(#REF!,"T")/2) + (COUNTIF(#REF!,"O")/2) )+ (COUNTIF(O67,"A") + (COUNTIF(O67,"T")/2) + (COUNTIF(O67,"O")/2) )+ (COUNTIF(Q67,"A") + (COUNTIF(Q67,"T")/2) + (COUNTIF(Q67,"O")/2) )+ (COUNTIF(R67,"A") + (COUNTIF(R67,"T")/2) + (COUNTIF(R67,"O")/2) )+ (COUNTIF(S67,"A") + (COUNTIF(S67,"T")/2) + (COUNTIF(S67,"O")/2) )+ (COUNTIF(#REF!,"A") + (COUNTIF(#REF!,"T")/2) + (COUNTIF(#REF!,"O")/2) )+ (COUNTIF(T67,"A") + (COUNTIF(T67,"T")/2) + (COUNTIF(T67,"O")/2) )+ (COUNTIF(U67,"A") + (COUNTIF(U67,"T")/2) + (COUNTIF(U67,"O")/2) )+ (COUNTIF(V67,"A") + (COUNTIF(V67,"T")/2) + (COUNTIF(V67,"O")/2) ) )/$X$1</f>
        <v>#REF!</v>
      </c>
      <c r="Y67" s="65"/>
      <c r="Z67" s="4"/>
      <c r="AA67" s="4"/>
      <c r="AB67" s="4"/>
      <c r="AC67" s="5"/>
    </row>
    <row r="68" ht="15.75" customHeight="1">
      <c r="A68" s="25">
        <f t="shared" si="1"/>
        <v>15</v>
      </c>
      <c r="B68" s="25">
        <f t="shared" si="7"/>
        <v>8</v>
      </c>
      <c r="C68" s="26" t="s">
        <v>54</v>
      </c>
      <c r="D68" s="27" t="s">
        <v>218</v>
      </c>
      <c r="E68" s="28" t="s">
        <v>41</v>
      </c>
      <c r="F68" s="28" t="s">
        <v>56</v>
      </c>
      <c r="G68" s="29" t="s">
        <v>71</v>
      </c>
      <c r="H68" s="30" t="s">
        <v>30</v>
      </c>
      <c r="I68" s="31" t="s">
        <v>101</v>
      </c>
      <c r="J68" s="32" t="s">
        <v>85</v>
      </c>
      <c r="K68" s="30" t="s">
        <v>30</v>
      </c>
      <c r="L68" s="30" t="s">
        <v>30</v>
      </c>
      <c r="M68" s="30" t="s">
        <v>30</v>
      </c>
      <c r="N68" s="30" t="s">
        <v>30</v>
      </c>
      <c r="O68" s="30" t="s">
        <v>30</v>
      </c>
      <c r="P68" s="30" t="s">
        <v>30</v>
      </c>
      <c r="Q68" s="30" t="s">
        <v>30</v>
      </c>
      <c r="R68" s="30" t="s">
        <v>30</v>
      </c>
      <c r="S68" s="30" t="s">
        <v>30</v>
      </c>
      <c r="T68" s="30" t="s">
        <v>30</v>
      </c>
      <c r="U68" s="30" t="s">
        <v>30</v>
      </c>
      <c r="V68" s="30" t="s">
        <v>30</v>
      </c>
      <c r="W68" s="30" t="s">
        <v>30</v>
      </c>
      <c r="X68" s="33" t="str">
        <f t="shared" ref="X68:X98" si="8">SUM( (COUNTIF(K68,"A") + (COUNTIF(K68,"T")/2) + (COUNTIF(K68,"O")/2) )+ (COUNTIF(L68,"A") + (COUNTIF(L68,"T")/2) + (COUNTIF(L68,"O")/2) )+ (COUNTIF(M68,"A") + (COUNTIF(M68,"T")/2) + (COUNTIF(M68,"O")/2) )+ (COUNTIF(N68,"A") + (COUNTIF(N68,"T")/2) + (COUNTIF(N68,"O")/2) )+ (COUNTIF(O68,"A") + (COUNTIF(O68,"T")/2) + (COUNTIF(O68,"O")/2) )+ (COUNTIF(P68,"A") + (COUNTIF(P68,"T")/2) + (COUNTIF(P68,"O")/2) )+ (COUNTIF(Q68,"A") + (COUNTIF(Q68,"T")/2) + (COUNTIF(Q68,"O")/2) )+ (COUNTIF(R68,"A") + (COUNTIF(R68,"T")/2) + (COUNTIF(R68,"O")/2) )+ (COUNTIF(S68,"A") + (COUNTIF(S68,"T")/2) + (COUNTIF(S68,"O")/2) )+ (COUNTIF(#REF!,"A") + (COUNTIF(#REF!,"T")/2) + (COUNTIF(#REF!,"O")/2) )+ (COUNTIF(T68,"A") + (COUNTIF(T68,"T")/2) + (COUNTIF(T68,"O")/2) )+ (COUNTIF(U68,"A") + (COUNTIF(U68,"T")/2) + (COUNTIF(U68,"O")/2) )+ (COUNTIF(V68,"A") + (COUNTIF(V68,"T")/2) + (COUNTIF(V68,"O")/2) ) )/$X$1</f>
        <v>#REF!</v>
      </c>
      <c r="Y68" s="65"/>
      <c r="Z68" s="4"/>
      <c r="AA68" s="4"/>
      <c r="AB68" s="4"/>
      <c r="AC68" s="5"/>
    </row>
    <row r="69" ht="15.75" customHeight="1">
      <c r="A69" s="25">
        <f t="shared" si="1"/>
        <v>15</v>
      </c>
      <c r="B69" s="25">
        <f t="shared" si="7"/>
        <v>10</v>
      </c>
      <c r="C69" s="26" t="s">
        <v>84</v>
      </c>
      <c r="D69" s="27" t="s">
        <v>220</v>
      </c>
      <c r="E69" s="28" t="s">
        <v>19</v>
      </c>
      <c r="F69" s="28" t="s">
        <v>41</v>
      </c>
      <c r="G69" s="29" t="s">
        <v>49</v>
      </c>
      <c r="H69" s="30" t="s">
        <v>30</v>
      </c>
      <c r="I69" s="31" t="s">
        <v>101</v>
      </c>
      <c r="J69" s="32" t="s">
        <v>85</v>
      </c>
      <c r="K69" s="30" t="s">
        <v>30</v>
      </c>
      <c r="L69" s="30" t="s">
        <v>30</v>
      </c>
      <c r="M69" s="30" t="s">
        <v>30</v>
      </c>
      <c r="N69" s="30" t="s">
        <v>30</v>
      </c>
      <c r="O69" s="30" t="s">
        <v>30</v>
      </c>
      <c r="P69" s="30" t="s">
        <v>30</v>
      </c>
      <c r="Q69" s="30" t="s">
        <v>30</v>
      </c>
      <c r="R69" s="30" t="s">
        <v>30</v>
      </c>
      <c r="S69" s="30" t="s">
        <v>30</v>
      </c>
      <c r="T69" s="30" t="s">
        <v>30</v>
      </c>
      <c r="U69" s="30" t="s">
        <v>30</v>
      </c>
      <c r="V69" s="30" t="s">
        <v>30</v>
      </c>
      <c r="W69" s="30" t="s">
        <v>30</v>
      </c>
      <c r="X69" s="33" t="str">
        <f t="shared" si="8"/>
        <v>#REF!</v>
      </c>
      <c r="Y69" s="47"/>
      <c r="Z69" s="47"/>
      <c r="AA69" s="48"/>
      <c r="AB69" s="1"/>
      <c r="AC69" s="1"/>
    </row>
    <row r="70" ht="15.75" customHeight="1">
      <c r="A70" s="25">
        <f t="shared" si="1"/>
        <v>15</v>
      </c>
      <c r="B70" s="25">
        <f t="shared" si="7"/>
        <v>11</v>
      </c>
      <c r="C70" s="26" t="s">
        <v>79</v>
      </c>
      <c r="D70" s="27" t="s">
        <v>221</v>
      </c>
      <c r="E70" s="28" t="s">
        <v>19</v>
      </c>
      <c r="F70" s="28"/>
      <c r="G70" s="29" t="s">
        <v>62</v>
      </c>
      <c r="H70" s="30" t="s">
        <v>30</v>
      </c>
      <c r="I70" s="31" t="s">
        <v>101</v>
      </c>
      <c r="J70" s="32" t="s">
        <v>85</v>
      </c>
      <c r="K70" s="30" t="s">
        <v>30</v>
      </c>
      <c r="L70" s="30" t="s">
        <v>30</v>
      </c>
      <c r="M70" s="30" t="s">
        <v>30</v>
      </c>
      <c r="N70" s="30" t="s">
        <v>30</v>
      </c>
      <c r="O70" s="30" t="s">
        <v>30</v>
      </c>
      <c r="P70" s="30" t="s">
        <v>30</v>
      </c>
      <c r="Q70" s="30" t="s">
        <v>30</v>
      </c>
      <c r="R70" s="30" t="s">
        <v>30</v>
      </c>
      <c r="S70" s="30" t="s">
        <v>30</v>
      </c>
      <c r="T70" s="30" t="s">
        <v>30</v>
      </c>
      <c r="U70" s="30" t="s">
        <v>30</v>
      </c>
      <c r="V70" s="30" t="s">
        <v>30</v>
      </c>
      <c r="W70" s="30" t="s">
        <v>30</v>
      </c>
      <c r="X70" s="33" t="str">
        <f t="shared" si="8"/>
        <v>#REF!</v>
      </c>
      <c r="Y70" s="47"/>
      <c r="Z70" s="47"/>
      <c r="AA70" s="48"/>
      <c r="AB70" s="1"/>
      <c r="AC70" s="1"/>
    </row>
    <row r="71" ht="15.75" customHeight="1">
      <c r="A71" s="25">
        <f t="shared" si="1"/>
        <v>15</v>
      </c>
      <c r="B71" s="25">
        <f t="shared" si="7"/>
        <v>11</v>
      </c>
      <c r="C71" s="53" t="s">
        <v>79</v>
      </c>
      <c r="D71" s="54" t="s">
        <v>223</v>
      </c>
      <c r="E71" s="28" t="s">
        <v>19</v>
      </c>
      <c r="F71" s="28"/>
      <c r="G71" s="29" t="s">
        <v>71</v>
      </c>
      <c r="H71" s="30" t="s">
        <v>21</v>
      </c>
      <c r="I71" s="31" t="s">
        <v>224</v>
      </c>
      <c r="J71" s="32"/>
      <c r="K71" s="30" t="s">
        <v>65</v>
      </c>
      <c r="L71" s="30" t="s">
        <v>65</v>
      </c>
      <c r="M71" s="30" t="s">
        <v>65</v>
      </c>
      <c r="N71" s="30" t="s">
        <v>21</v>
      </c>
      <c r="O71" s="30" t="s">
        <v>24</v>
      </c>
      <c r="P71" s="30"/>
      <c r="Q71" s="30" t="s">
        <v>21</v>
      </c>
      <c r="R71" s="30" t="s">
        <v>21</v>
      </c>
      <c r="S71" s="30"/>
      <c r="T71" s="30" t="s">
        <v>24</v>
      </c>
      <c r="U71" s="30" t="s">
        <v>21</v>
      </c>
      <c r="V71" s="30"/>
      <c r="W71" s="30" t="s">
        <v>21</v>
      </c>
      <c r="X71" s="33" t="str">
        <f t="shared" si="8"/>
        <v>#REF!</v>
      </c>
      <c r="Y71" s="47"/>
      <c r="Z71" s="47"/>
      <c r="AA71" s="48"/>
      <c r="AB71" s="1"/>
      <c r="AC71" s="1"/>
    </row>
    <row r="72" ht="15.75" customHeight="1">
      <c r="A72" s="25">
        <f t="shared" si="1"/>
        <v>15</v>
      </c>
      <c r="B72" s="25">
        <f t="shared" si="7"/>
        <v>11</v>
      </c>
      <c r="C72" s="53" t="s">
        <v>79</v>
      </c>
      <c r="D72" s="54" t="s">
        <v>225</v>
      </c>
      <c r="E72" s="28" t="s">
        <v>19</v>
      </c>
      <c r="F72" s="28"/>
      <c r="G72" s="29" t="s">
        <v>149</v>
      </c>
      <c r="H72" s="30" t="s">
        <v>21</v>
      </c>
      <c r="I72" s="31" t="s">
        <v>224</v>
      </c>
      <c r="J72" s="32"/>
      <c r="K72" s="30" t="s">
        <v>65</v>
      </c>
      <c r="L72" s="30" t="s">
        <v>65</v>
      </c>
      <c r="M72" s="30" t="s">
        <v>65</v>
      </c>
      <c r="N72" s="30" t="s">
        <v>21</v>
      </c>
      <c r="O72" s="30" t="s">
        <v>21</v>
      </c>
      <c r="P72" s="30"/>
      <c r="Q72" s="30" t="s">
        <v>21</v>
      </c>
      <c r="R72" s="30" t="s">
        <v>21</v>
      </c>
      <c r="S72" s="30"/>
      <c r="T72" s="30" t="s">
        <v>21</v>
      </c>
      <c r="U72" s="30" t="s">
        <v>21</v>
      </c>
      <c r="V72" s="30"/>
      <c r="W72" s="30" t="s">
        <v>24</v>
      </c>
      <c r="X72" s="33" t="str">
        <f t="shared" si="8"/>
        <v>#REF!</v>
      </c>
      <c r="Y72" s="47"/>
      <c r="Z72" s="47"/>
      <c r="AA72" s="48"/>
      <c r="AB72" s="1"/>
      <c r="AC72" s="1"/>
    </row>
    <row r="73" ht="15.75" customHeight="1">
      <c r="A73" s="25">
        <f t="shared" si="1"/>
        <v>15</v>
      </c>
      <c r="B73" s="25">
        <f t="shared" si="7"/>
        <v>9</v>
      </c>
      <c r="C73" s="26" t="s">
        <v>64</v>
      </c>
      <c r="D73" s="66" t="s">
        <v>226</v>
      </c>
      <c r="E73" s="28" t="s">
        <v>56</v>
      </c>
      <c r="F73" s="28" t="s">
        <v>19</v>
      </c>
      <c r="G73" s="29" t="s">
        <v>227</v>
      </c>
      <c r="H73" s="30" t="s">
        <v>30</v>
      </c>
      <c r="I73" s="31" t="s">
        <v>101</v>
      </c>
      <c r="J73" s="32"/>
      <c r="K73" s="30" t="s">
        <v>30</v>
      </c>
      <c r="L73" s="30" t="s">
        <v>30</v>
      </c>
      <c r="M73" s="30" t="s">
        <v>30</v>
      </c>
      <c r="N73" s="30" t="s">
        <v>30</v>
      </c>
      <c r="O73" s="30" t="s">
        <v>30</v>
      </c>
      <c r="P73" s="30" t="s">
        <v>30</v>
      </c>
      <c r="Q73" s="30" t="s">
        <v>30</v>
      </c>
      <c r="R73" s="30" t="s">
        <v>30</v>
      </c>
      <c r="S73" s="30" t="s">
        <v>30</v>
      </c>
      <c r="T73" s="30" t="s">
        <v>30</v>
      </c>
      <c r="U73" s="30" t="s">
        <v>30</v>
      </c>
      <c r="V73" s="30" t="s">
        <v>30</v>
      </c>
      <c r="W73" s="30" t="s">
        <v>30</v>
      </c>
      <c r="X73" s="33" t="str">
        <f t="shared" si="8"/>
        <v>#REF!</v>
      </c>
      <c r="Y73" s="47"/>
      <c r="Z73" s="47"/>
      <c r="AA73" s="48"/>
      <c r="AB73" s="1"/>
      <c r="AC73" s="1"/>
    </row>
    <row r="74" ht="15.75" customHeight="1">
      <c r="A74" s="25">
        <f t="shared" si="1"/>
        <v>15</v>
      </c>
      <c r="B74" s="25">
        <f t="shared" si="7"/>
        <v>10</v>
      </c>
      <c r="C74" s="67" t="s">
        <v>84</v>
      </c>
      <c r="D74" s="68" t="s">
        <v>228</v>
      </c>
      <c r="E74" s="28" t="s">
        <v>61</v>
      </c>
      <c r="F74" s="28" t="s">
        <v>19</v>
      </c>
      <c r="G74" s="29" t="s">
        <v>71</v>
      </c>
      <c r="H74" s="30" t="s">
        <v>30</v>
      </c>
      <c r="I74" s="31" t="s">
        <v>101</v>
      </c>
      <c r="J74" s="32"/>
      <c r="K74" s="30" t="s">
        <v>30</v>
      </c>
      <c r="L74" s="30" t="s">
        <v>30</v>
      </c>
      <c r="M74" s="30" t="s">
        <v>30</v>
      </c>
      <c r="N74" s="30" t="s">
        <v>30</v>
      </c>
      <c r="O74" s="30" t="s">
        <v>30</v>
      </c>
      <c r="P74" s="30" t="s">
        <v>30</v>
      </c>
      <c r="Q74" s="30" t="s">
        <v>30</v>
      </c>
      <c r="R74" s="30" t="s">
        <v>30</v>
      </c>
      <c r="S74" s="30" t="s">
        <v>30</v>
      </c>
      <c r="T74" s="30" t="s">
        <v>30</v>
      </c>
      <c r="U74" s="30" t="s">
        <v>30</v>
      </c>
      <c r="V74" s="30" t="s">
        <v>30</v>
      </c>
      <c r="W74" s="30" t="s">
        <v>30</v>
      </c>
      <c r="X74" s="33" t="str">
        <f t="shared" si="8"/>
        <v>#REF!</v>
      </c>
      <c r="Y74" s="47"/>
      <c r="Z74" s="47"/>
      <c r="AA74" s="48"/>
      <c r="AB74" s="1"/>
      <c r="AC74" s="1"/>
    </row>
    <row r="75" ht="15.75" customHeight="1">
      <c r="A75" s="25">
        <f t="shared" si="1"/>
        <v>15</v>
      </c>
      <c r="B75" s="25">
        <f t="shared" si="7"/>
        <v>15</v>
      </c>
      <c r="C75" s="67"/>
      <c r="D75" s="68"/>
      <c r="E75" s="28"/>
      <c r="F75" s="28"/>
      <c r="G75" s="29"/>
      <c r="H75" s="30"/>
      <c r="I75" s="31"/>
      <c r="J75" s="32"/>
      <c r="K75" s="30"/>
      <c r="L75" s="30"/>
      <c r="M75" s="30"/>
      <c r="N75" s="30"/>
      <c r="O75" s="30"/>
      <c r="P75" s="63"/>
      <c r="Q75" s="30"/>
      <c r="R75" s="30"/>
      <c r="S75" s="30"/>
      <c r="T75" s="30"/>
      <c r="U75" s="30"/>
      <c r="V75" s="30"/>
      <c r="W75" s="30"/>
      <c r="X75" s="33" t="str">
        <f t="shared" si="8"/>
        <v>#REF!</v>
      </c>
      <c r="Y75" s="47"/>
      <c r="Z75" s="47"/>
      <c r="AA75" s="48"/>
      <c r="AB75" s="1"/>
      <c r="AC75" s="1"/>
    </row>
    <row r="76" ht="15.75" customHeight="1">
      <c r="A76" s="25">
        <f t="shared" si="1"/>
        <v>15</v>
      </c>
      <c r="B76" s="25">
        <f t="shared" si="7"/>
        <v>15</v>
      </c>
      <c r="C76" s="26"/>
      <c r="D76" s="27"/>
      <c r="E76" s="28"/>
      <c r="F76" s="28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3" t="str">
        <f t="shared" si="8"/>
        <v>#REF!</v>
      </c>
      <c r="Y76" s="47"/>
      <c r="Z76" s="47"/>
      <c r="AA76" s="48"/>
      <c r="AB76" s="1"/>
      <c r="AC76" s="1"/>
    </row>
    <row r="77" ht="15.75" customHeight="1">
      <c r="A77" s="25">
        <f t="shared" si="1"/>
        <v>15</v>
      </c>
      <c r="B77" s="25">
        <f t="shared" si="7"/>
        <v>15</v>
      </c>
      <c r="C77" s="26"/>
      <c r="D77" s="27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3" t="str">
        <f t="shared" si="8"/>
        <v>#REF!</v>
      </c>
      <c r="Y77" s="47"/>
      <c r="Z77" s="47"/>
      <c r="AA77" s="48"/>
      <c r="AB77" s="1"/>
      <c r="AC77" s="1"/>
    </row>
    <row r="78" ht="15.75" customHeight="1">
      <c r="A78" s="25">
        <f t="shared" si="1"/>
        <v>15</v>
      </c>
      <c r="B78" s="25">
        <f t="shared" si="7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3" t="str">
        <f t="shared" si="8"/>
        <v>#REF!</v>
      </c>
      <c r="Y78" s="47"/>
      <c r="Z78" s="47"/>
      <c r="AA78" s="48"/>
      <c r="AB78" s="1"/>
      <c r="AC78" s="1"/>
    </row>
    <row r="79" ht="15.75" customHeight="1">
      <c r="A79" s="25">
        <f t="shared" si="1"/>
        <v>15</v>
      </c>
      <c r="B79" s="25">
        <f t="shared" si="7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3" t="str">
        <f t="shared" si="8"/>
        <v>#REF!</v>
      </c>
      <c r="Y79" s="47"/>
      <c r="Z79" s="47"/>
      <c r="AA79" s="48"/>
      <c r="AB79" s="1"/>
      <c r="AC79" s="1"/>
    </row>
    <row r="80" ht="15.75" customHeight="1">
      <c r="A80" s="25">
        <f t="shared" si="1"/>
        <v>15</v>
      </c>
      <c r="B80" s="25">
        <f t="shared" si="7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3" t="str">
        <f t="shared" si="8"/>
        <v>#REF!</v>
      </c>
      <c r="Y80" s="47"/>
      <c r="Z80" s="47"/>
      <c r="AA80" s="48"/>
      <c r="AB80" s="1"/>
      <c r="AC80" s="1"/>
    </row>
    <row r="81" ht="15.75" customHeight="1">
      <c r="A81" s="25">
        <f t="shared" si="1"/>
        <v>15</v>
      </c>
      <c r="B81" s="25">
        <f t="shared" si="7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3" t="str">
        <f t="shared" si="8"/>
        <v>#REF!</v>
      </c>
      <c r="Y81" s="47"/>
      <c r="Z81" s="47"/>
      <c r="AA81" s="48"/>
      <c r="AB81" s="1"/>
      <c r="AC81" s="1"/>
    </row>
    <row r="82" ht="15.75" customHeight="1">
      <c r="A82" s="25">
        <f t="shared" si="1"/>
        <v>15</v>
      </c>
      <c r="B82" s="25">
        <f t="shared" si="7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3" t="str">
        <f t="shared" si="8"/>
        <v>#REF!</v>
      </c>
      <c r="Y82" s="47"/>
      <c r="Z82" s="47"/>
      <c r="AA82" s="48"/>
      <c r="AB82" s="1"/>
      <c r="AC82" s="1"/>
    </row>
    <row r="83" ht="15.75" customHeight="1">
      <c r="A83" s="25">
        <f t="shared" si="1"/>
        <v>15</v>
      </c>
      <c r="B83" s="25">
        <f t="shared" si="7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3" t="str">
        <f t="shared" si="8"/>
        <v>#REF!</v>
      </c>
      <c r="Y83" s="47"/>
      <c r="Z83" s="47"/>
      <c r="AA83" s="48"/>
      <c r="AB83" s="1"/>
      <c r="AC83" s="1"/>
    </row>
    <row r="84" ht="15.75" customHeight="1">
      <c r="A84" s="25">
        <f t="shared" si="1"/>
        <v>15</v>
      </c>
      <c r="B84" s="25">
        <f t="shared" si="7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3" t="str">
        <f t="shared" si="8"/>
        <v>#REF!</v>
      </c>
      <c r="Y84" s="47"/>
      <c r="Z84" s="47"/>
      <c r="AA84" s="48"/>
      <c r="AB84" s="1"/>
      <c r="AC84" s="1"/>
    </row>
    <row r="85" ht="15.75" customHeight="1">
      <c r="A85" s="25">
        <f t="shared" si="1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3" t="str">
        <f t="shared" si="8"/>
        <v>#REF!</v>
      </c>
      <c r="Y85" s="47"/>
      <c r="Z85" s="47"/>
      <c r="AA85" s="48"/>
      <c r="AB85" s="1"/>
      <c r="AC85" s="1"/>
    </row>
    <row r="86" ht="15.75" customHeight="1">
      <c r="A86" s="25">
        <f t="shared" si="1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3" t="str">
        <f t="shared" si="8"/>
        <v>#REF!</v>
      </c>
      <c r="Y86" s="47"/>
      <c r="Z86" s="47"/>
      <c r="AA86" s="48"/>
      <c r="AB86" s="1"/>
      <c r="AC86" s="1"/>
    </row>
    <row r="87" ht="15.75" customHeight="1">
      <c r="A87" s="25">
        <f t="shared" si="1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3" t="str">
        <f t="shared" si="8"/>
        <v>#REF!</v>
      </c>
      <c r="Y87" s="47"/>
      <c r="Z87" s="47"/>
      <c r="AA87" s="48"/>
      <c r="AB87" s="1"/>
      <c r="AC87" s="1"/>
    </row>
    <row r="88" ht="15.75" customHeight="1">
      <c r="A88" s="25">
        <f t="shared" si="1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3" t="str">
        <f t="shared" si="8"/>
        <v>#REF!</v>
      </c>
      <c r="Y88" s="47"/>
      <c r="Z88" s="47"/>
      <c r="AA88" s="48"/>
      <c r="AB88" s="1"/>
      <c r="AC88" s="1"/>
    </row>
    <row r="89" ht="15.75" customHeight="1">
      <c r="A89" s="25">
        <f t="shared" si="1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3" t="str">
        <f t="shared" si="8"/>
        <v>#REF!</v>
      </c>
      <c r="Y89" s="47"/>
      <c r="Z89" s="47"/>
      <c r="AA89" s="48"/>
      <c r="AB89" s="1"/>
      <c r="AC89" s="1"/>
    </row>
    <row r="90" ht="15.75" customHeight="1">
      <c r="A90" s="25">
        <f t="shared" si="1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3" t="str">
        <f t="shared" si="8"/>
        <v>#REF!</v>
      </c>
      <c r="Y90" s="47"/>
      <c r="Z90" s="47"/>
      <c r="AA90" s="48"/>
      <c r="AB90" s="1"/>
      <c r="AC90" s="1"/>
    </row>
    <row r="91" ht="15.75" customHeight="1">
      <c r="A91" s="25">
        <f t="shared" si="1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3" t="str">
        <f t="shared" si="8"/>
        <v>#REF!</v>
      </c>
      <c r="Y91" s="47"/>
      <c r="Z91" s="47"/>
      <c r="AA91" s="48"/>
      <c r="AB91" s="1"/>
      <c r="AC91" s="1"/>
    </row>
    <row r="92" ht="15.75" customHeight="1">
      <c r="A92" s="25">
        <f t="shared" si="1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3" t="str">
        <f t="shared" si="8"/>
        <v>#REF!</v>
      </c>
      <c r="Y92" s="47"/>
      <c r="Z92" s="47"/>
      <c r="AA92" s="48"/>
      <c r="AB92" s="1"/>
      <c r="AC92" s="1"/>
    </row>
    <row r="93" ht="15.75" customHeight="1">
      <c r="A93" s="25">
        <f t="shared" si="1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3" t="str">
        <f t="shared" si="8"/>
        <v>#REF!</v>
      </c>
      <c r="Y93" s="47"/>
      <c r="Z93" s="47"/>
      <c r="AA93" s="48"/>
      <c r="AB93" s="1"/>
      <c r="AC93" s="1"/>
    </row>
    <row r="94" ht="15.75" customHeight="1">
      <c r="A94" s="25">
        <f t="shared" si="1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3" t="str">
        <f t="shared" si="8"/>
        <v>#REF!</v>
      </c>
      <c r="Y94" s="47"/>
      <c r="Z94" s="47"/>
      <c r="AA94" s="48"/>
      <c r="AB94" s="1"/>
      <c r="AC94" s="1"/>
    </row>
    <row r="95" ht="15.75" customHeight="1">
      <c r="A95" s="25">
        <f t="shared" si="1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3" t="str">
        <f t="shared" si="8"/>
        <v>#REF!</v>
      </c>
      <c r="Y95" s="47"/>
      <c r="Z95" s="47"/>
      <c r="AA95" s="48"/>
      <c r="AB95" s="1"/>
      <c r="AC95" s="1"/>
    </row>
    <row r="96" ht="15.75" customHeight="1">
      <c r="A96" s="25">
        <f t="shared" si="1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3" t="str">
        <f t="shared" si="8"/>
        <v>#REF!</v>
      </c>
      <c r="Y96" s="47"/>
      <c r="Z96" s="47"/>
      <c r="AA96" s="48"/>
      <c r="AB96" s="1"/>
      <c r="AC96" s="1"/>
    </row>
    <row r="97" ht="15.75" customHeight="1">
      <c r="A97" s="25">
        <f t="shared" si="1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3" t="str">
        <f t="shared" si="8"/>
        <v>#REF!</v>
      </c>
      <c r="Y97" s="47"/>
      <c r="Z97" s="47"/>
      <c r="AA97" s="48"/>
      <c r="AB97" s="1"/>
      <c r="AC97" s="1"/>
    </row>
    <row r="98" ht="15.75" customHeight="1">
      <c r="A98" s="25">
        <f t="shared" si="1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3" t="str">
        <f t="shared" si="8"/>
        <v>#REF!</v>
      </c>
      <c r="Y98" s="47"/>
      <c r="Z98" s="47"/>
      <c r="AA98" s="48"/>
      <c r="AB98" s="1"/>
      <c r="AC98" s="1"/>
    </row>
    <row r="99" ht="15.75" customHeight="1">
      <c r="A99" s="69"/>
      <c r="B99" s="69"/>
      <c r="C99" s="2"/>
      <c r="D99" s="47"/>
      <c r="E99" s="70"/>
      <c r="F99" s="70"/>
      <c r="G99" s="70"/>
      <c r="H99" s="70"/>
      <c r="I99" s="44"/>
      <c r="J99" s="71" t="s">
        <v>229</v>
      </c>
      <c r="K99" s="72">
        <f t="shared" ref="K99:W99" si="9">SUM(COUNTIF(K3:K98,"A") + COUNTIF(K3:K98,"T") + (COUNTIF(K3:K98,"O")/2))</f>
        <v>32</v>
      </c>
      <c r="L99" s="72">
        <f t="shared" si="9"/>
        <v>31</v>
      </c>
      <c r="M99" s="72">
        <f t="shared" si="9"/>
        <v>0</v>
      </c>
      <c r="N99" s="72">
        <f t="shared" si="9"/>
        <v>32</v>
      </c>
      <c r="O99" s="72">
        <f t="shared" si="9"/>
        <v>33</v>
      </c>
      <c r="P99" s="72">
        <f t="shared" si="9"/>
        <v>0</v>
      </c>
      <c r="Q99" s="72">
        <f t="shared" si="9"/>
        <v>27</v>
      </c>
      <c r="R99" s="72">
        <f t="shared" si="9"/>
        <v>25</v>
      </c>
      <c r="S99" s="72">
        <f t="shared" si="9"/>
        <v>1.5</v>
      </c>
      <c r="T99" s="72">
        <f t="shared" si="9"/>
        <v>21</v>
      </c>
      <c r="U99" s="72">
        <f t="shared" si="9"/>
        <v>25</v>
      </c>
      <c r="V99" s="72">
        <f t="shared" si="9"/>
        <v>2.5</v>
      </c>
      <c r="W99" s="72">
        <f t="shared" si="9"/>
        <v>20</v>
      </c>
      <c r="X99" s="73">
        <f t="shared" ref="X99:X101" si="11">AVERAGE(K99,L99,N99,O99,P99,Q99,R99,T99,U99,W99)</f>
        <v>24.6</v>
      </c>
      <c r="Y99" s="74" t="s">
        <v>230</v>
      </c>
      <c r="Z99" s="42"/>
      <c r="AA99" s="47"/>
      <c r="AB99" s="47"/>
      <c r="AC99" s="47"/>
    </row>
    <row r="100" ht="15.75" customHeight="1">
      <c r="A100" s="69"/>
      <c r="B100" s="69"/>
      <c r="C100" s="2"/>
      <c r="D100" s="47"/>
      <c r="E100" s="70"/>
      <c r="F100" s="70"/>
      <c r="G100" s="70"/>
      <c r="H100" s="70"/>
      <c r="I100" s="44"/>
      <c r="J100" s="75" t="s">
        <v>231</v>
      </c>
      <c r="K100" s="76">
        <f t="shared" ref="K100:W100" si="10">SUM(COUNTIF(K3:K98,"J"))</f>
        <v>4</v>
      </c>
      <c r="L100" s="76">
        <f t="shared" si="10"/>
        <v>4</v>
      </c>
      <c r="M100" s="76">
        <f t="shared" si="10"/>
        <v>0</v>
      </c>
      <c r="N100" s="76">
        <f t="shared" si="10"/>
        <v>3</v>
      </c>
      <c r="O100" s="76">
        <f t="shared" si="10"/>
        <v>5</v>
      </c>
      <c r="P100" s="76">
        <f t="shared" si="10"/>
        <v>0</v>
      </c>
      <c r="Q100" s="76">
        <f t="shared" si="10"/>
        <v>8</v>
      </c>
      <c r="R100" s="76">
        <f t="shared" si="10"/>
        <v>11</v>
      </c>
      <c r="S100" s="76">
        <f t="shared" si="10"/>
        <v>0</v>
      </c>
      <c r="T100" s="76">
        <f t="shared" si="10"/>
        <v>10</v>
      </c>
      <c r="U100" s="76">
        <f t="shared" si="10"/>
        <v>6</v>
      </c>
      <c r="V100" s="76">
        <f t="shared" si="10"/>
        <v>0</v>
      </c>
      <c r="W100" s="76">
        <f t="shared" si="10"/>
        <v>6</v>
      </c>
      <c r="X100" s="77">
        <f t="shared" si="11"/>
        <v>5.7</v>
      </c>
      <c r="Y100" s="74" t="s">
        <v>232</v>
      </c>
      <c r="Z100" s="42"/>
      <c r="AA100" s="47"/>
      <c r="AB100" s="47"/>
      <c r="AC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8" t="s">
        <v>233</v>
      </c>
      <c r="K101" s="79">
        <f t="shared" ref="K101:W101" si="12">SUM(COUNTIF(K3:K98,"F"))</f>
        <v>1</v>
      </c>
      <c r="L101" s="79">
        <f t="shared" si="12"/>
        <v>3</v>
      </c>
      <c r="M101" s="79">
        <f t="shared" si="12"/>
        <v>0</v>
      </c>
      <c r="N101" s="79">
        <f t="shared" si="12"/>
        <v>3</v>
      </c>
      <c r="O101" s="79">
        <f t="shared" si="12"/>
        <v>3</v>
      </c>
      <c r="P101" s="79">
        <f t="shared" si="12"/>
        <v>0</v>
      </c>
      <c r="Q101" s="79">
        <f t="shared" si="12"/>
        <v>3</v>
      </c>
      <c r="R101" s="79">
        <f t="shared" si="12"/>
        <v>3</v>
      </c>
      <c r="S101" s="79">
        <f t="shared" si="12"/>
        <v>0</v>
      </c>
      <c r="T101" s="79">
        <f t="shared" si="12"/>
        <v>3</v>
      </c>
      <c r="U101" s="79">
        <f t="shared" si="12"/>
        <v>3</v>
      </c>
      <c r="V101" s="79">
        <f t="shared" si="12"/>
        <v>0</v>
      </c>
      <c r="W101" s="79">
        <f t="shared" si="12"/>
        <v>1</v>
      </c>
      <c r="X101" s="80">
        <f t="shared" si="11"/>
        <v>2.3</v>
      </c>
      <c r="Y101" s="81" t="s">
        <v>234</v>
      </c>
      <c r="Z101" s="5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82" t="s">
        <v>235</v>
      </c>
      <c r="K102" s="84">
        <f t="shared" ref="K102:L102" si="13">(COUNTIF(K3:K98,"A") + COUNTIF(K3:K98,"T") + COUNTIF(K3:K98,"F") + COUNTIF(K3:K98,"J"))</f>
        <v>37</v>
      </c>
      <c r="L102" s="84">
        <f t="shared" si="13"/>
        <v>38</v>
      </c>
      <c r="M102" s="83"/>
      <c r="N102" s="84">
        <f t="shared" ref="N102:O102" si="14">(COUNTIF(N3:N98,"A") + COUNTIF(N3:N98,"T") + COUNTIF(N3:N98,"F") + COUNTIF(N3:N98,"J"))</f>
        <v>38</v>
      </c>
      <c r="O102" s="84">
        <f t="shared" si="14"/>
        <v>41</v>
      </c>
      <c r="P102" s="83"/>
      <c r="Q102" s="84">
        <f t="shared" ref="Q102:R102" si="15">(COUNTIF(Q3:Q98,"A") + COUNTIF(Q3:Q98,"T") + COUNTIF(Q3:Q98,"F") + COUNTIF(Q3:Q98,"J"))</f>
        <v>38</v>
      </c>
      <c r="R102" s="84">
        <f t="shared" si="15"/>
        <v>39</v>
      </c>
      <c r="S102" s="83"/>
      <c r="T102" s="84">
        <f t="shared" ref="T102:U102" si="16">(COUNTIF(T3:T98,"A") + COUNTIF(T3:T98,"T") + COUNTIF(T3:T98,"F") + COUNTIF(T3:T98,"J"))</f>
        <v>34</v>
      </c>
      <c r="U102" s="84">
        <f t="shared" si="16"/>
        <v>34</v>
      </c>
      <c r="V102" s="83"/>
      <c r="W102" s="84">
        <f>(COUNTIF(W3:W98,"A") + COUNTIF(W3:W98,"T") + COUNTIF(W3:W98,"F") + COUNTIF(W3:W98,"J"))</f>
        <v>27</v>
      </c>
      <c r="X102" s="85">
        <f>AVERAGE(K102,L102,N102,O102,Q102,R102,T102,U102,W102)</f>
        <v>36.22222222</v>
      </c>
      <c r="Y102" s="81" t="s">
        <v>236</v>
      </c>
      <c r="Z102" s="5"/>
      <c r="AA102" s="47"/>
      <c r="AB102" s="47"/>
      <c r="AC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8"/>
  <mergeCells count="39">
    <mergeCell ref="C1:I1"/>
    <mergeCell ref="K1:W1"/>
    <mergeCell ref="Y1:Z1"/>
    <mergeCell ref="AA1:AC1"/>
    <mergeCell ref="Z3:AC3"/>
    <mergeCell ref="Z4:AC4"/>
    <mergeCell ref="Z5:AC5"/>
    <mergeCell ref="Z6:AC6"/>
    <mergeCell ref="Z7:AC7"/>
    <mergeCell ref="Z8:AC8"/>
    <mergeCell ref="Z9:AC9"/>
    <mergeCell ref="Z10:AC10"/>
    <mergeCell ref="Y43:Z43"/>
    <mergeCell ref="AB43:AC43"/>
    <mergeCell ref="Y44:Z44"/>
    <mergeCell ref="Y45:Z45"/>
    <mergeCell ref="Y46:Z46"/>
    <mergeCell ref="Y47:Z47"/>
    <mergeCell ref="Y48:Z48"/>
    <mergeCell ref="Y49:Z49"/>
    <mergeCell ref="Y50:Z50"/>
    <mergeCell ref="Y67:AC67"/>
    <mergeCell ref="Y68:AC68"/>
    <mergeCell ref="Y60:AC60"/>
    <mergeCell ref="Y61:AC61"/>
    <mergeCell ref="Y62:AC62"/>
    <mergeCell ref="Y63:AC63"/>
    <mergeCell ref="Y64:AC64"/>
    <mergeCell ref="Y65:AC65"/>
    <mergeCell ref="Y66:AC66"/>
    <mergeCell ref="Y101:Z101"/>
    <mergeCell ref="Y102:Z102"/>
    <mergeCell ref="Y51:Z51"/>
    <mergeCell ref="Y52:Z52"/>
    <mergeCell ref="Y53:Z53"/>
    <mergeCell ref="Y54:Z54"/>
    <mergeCell ref="Y55:Z55"/>
    <mergeCell ref="Y56:Z56"/>
    <mergeCell ref="Y57:Z57"/>
  </mergeCells>
  <conditionalFormatting sqref="H65:H66 K65:X66 H69 K69:X69 H71:H73 K71:X73">
    <cfRule type="cellIs" dxfId="0" priority="1" operator="equal">
      <formula>"NP"</formula>
    </cfRule>
  </conditionalFormatting>
  <conditionalFormatting sqref="H3:H98 K3:W98 Y3:Y10">
    <cfRule type="cellIs" dxfId="0" priority="2" operator="equal">
      <formula>"NP"</formula>
    </cfRule>
  </conditionalFormatting>
  <conditionalFormatting sqref="AB45:AB47 AC45 AB49:AB51">
    <cfRule type="containsText" dxfId="1" priority="3" operator="containsText" text="Si">
      <formula>NOT(ISERROR(SEARCH(("Si"),(AB45))))</formula>
    </cfRule>
  </conditionalFormatting>
  <conditionalFormatting sqref="H3:H98 K3:W98 Y3:Y10 X65:X66 X69 X71:X73">
    <cfRule type="containsText" dxfId="2" priority="4" operator="containsText" text="A">
      <formula>NOT(ISERROR(SEARCH(("A"),(H3))))</formula>
    </cfRule>
  </conditionalFormatting>
  <conditionalFormatting sqref="H3:H98 K3:W98 Y3:Y10 X65:X66 X69 X71:X73">
    <cfRule type="containsText" dxfId="3" priority="5" operator="containsText" text="F">
      <formula>NOT(ISERROR(SEARCH(("F"),(H3))))</formula>
    </cfRule>
  </conditionalFormatting>
  <conditionalFormatting sqref="H3:H98 K3:W98 Y3:Y10 X65:X66 X69 X71:X73">
    <cfRule type="containsText" dxfId="4" priority="6" operator="containsText" text="J">
      <formula>NOT(ISERROR(SEARCH(("J"),(H3))))</formula>
    </cfRule>
  </conditionalFormatting>
  <conditionalFormatting sqref="H3:H98 K3:W98 Y3:Y10 X65:X66 X69 X71:X73">
    <cfRule type="containsText" dxfId="5" priority="7" operator="containsText" text="R">
      <formula>NOT(ISERROR(SEARCH(("R"),(H3))))</formula>
    </cfRule>
  </conditionalFormatting>
  <conditionalFormatting sqref="H3:H98 K3:W98 Y3:Y10 X65:X66 X69 X71:X73">
    <cfRule type="containsText" dxfId="6" priority="8" operator="containsText" text="L">
      <formula>NOT(ISERROR(SEARCH(("L"),(H3))))</formula>
    </cfRule>
  </conditionalFormatting>
  <conditionalFormatting sqref="AA24 AA26 AA45:AA57 AA69:AA98">
    <cfRule type="expression" dxfId="7" priority="9">
      <formula>AND(ISNUMBER(AA24),TRUNC(AA24)&lt;TODAY())</formula>
    </cfRule>
  </conditionalFormatting>
  <conditionalFormatting sqref="AA24 AA26 AA45:AA57 AA69:AA98">
    <cfRule type="expression" dxfId="8" priority="10">
      <formula>AND(ISNUMBER(AA24),TRUNC(AA24)&gt;TODAY())</formula>
    </cfRule>
  </conditionalFormatting>
  <conditionalFormatting sqref="AA24 AA26 AA45:AA57 AA69:AA98">
    <cfRule type="timePeriod" dxfId="9" priority="11" timePeriod="today"/>
  </conditionalFormatting>
  <conditionalFormatting sqref="AB45:AC57 AB69:AC98">
    <cfRule type="containsText" dxfId="7" priority="12" operator="containsText" text="No">
      <formula>NOT(ISERROR(SEARCH(("No"),(AB45))))</formula>
    </cfRule>
  </conditionalFormatting>
  <conditionalFormatting sqref="H3:H98 K3:W98 Y3:Y10 X65:X66 X69 X71:X73">
    <cfRule type="containsText" dxfId="10" priority="13" operator="containsText" text="T">
      <formula>NOT(ISERROR(SEARCH(("T"),(H3))))</formula>
    </cfRule>
  </conditionalFormatting>
  <conditionalFormatting sqref="AB45:AC57 AB69:AC98">
    <cfRule type="containsText" dxfId="1" priority="14" operator="containsText" text="Sí">
      <formula>NOT(ISERROR(SEARCH(("Sí"),(AB45))))</formula>
    </cfRule>
  </conditionalFormatting>
  <conditionalFormatting sqref="H3:H98 K3:W98 Y3:Y10 X65:X66 X69 X71:X73">
    <cfRule type="containsText" dxfId="11" priority="15" operator="containsText" text="O">
      <formula>NOT(ISERROR(SEARCH(("O"),(H3))))</formula>
    </cfRule>
  </conditionalFormatting>
  <conditionalFormatting sqref="K102:W102">
    <cfRule type="cellIs" dxfId="1" priority="16" operator="equal">
      <formula>"OK"</formula>
    </cfRule>
  </conditionalFormatting>
  <conditionalFormatting sqref="K102:W102">
    <cfRule type="cellIs" dxfId="7" priority="17" operator="equal">
      <formula>"NO"</formula>
    </cfRule>
  </conditionalFormatting>
  <conditionalFormatting sqref="X3:X69 X70:X98">
    <cfRule type="cellIs" dxfId="2" priority="18" operator="greaterThanOrEqual">
      <formula>"75%"</formula>
    </cfRule>
  </conditionalFormatting>
  <conditionalFormatting sqref="X3:X69 X70:X98">
    <cfRule type="cellIs" dxfId="12" priority="19" operator="lessThan">
      <formula>"50%"</formula>
    </cfRule>
  </conditionalFormatting>
  <conditionalFormatting sqref="H3:H98 K3:W98">
    <cfRule type="expression" dxfId="13" priority="20">
      <formula>LEN(TRIM(H3))=0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K3:W57 K58 M58:W58 K59:W74 K75:O75 Q75:W75 K76:W98">
      <formula1>"A,J,T,F,O,L,R,NP"</formula1>
    </dataValidation>
  </dataValidations>
  <hyperlinks>
    <hyperlink display="Licencia - ver Licencias" location="Julio!X42:AB56" ref="Z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0.86"/>
    <col customWidth="1" min="11" max="11" width="7.57"/>
    <col customWidth="1" min="12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237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8.0</v>
      </c>
      <c r="Y1" s="10" t="s">
        <v>6</v>
      </c>
      <c r="Z1" s="5"/>
      <c r="AA1" s="11" t="s">
        <v>7</v>
      </c>
      <c r="AB1" s="7"/>
      <c r="AC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9">
        <v>43345.0</v>
      </c>
      <c r="L2" s="18">
        <v>43347.0</v>
      </c>
      <c r="M2" s="18">
        <v>43349.0</v>
      </c>
      <c r="N2" s="19">
        <v>43352.0</v>
      </c>
      <c r="O2" s="20">
        <v>43354.0</v>
      </c>
      <c r="P2" s="20">
        <v>43356.0</v>
      </c>
      <c r="Q2" s="19">
        <v>43359.0</v>
      </c>
      <c r="R2" s="20">
        <v>43361.0</v>
      </c>
      <c r="S2" s="20">
        <v>43363.0</v>
      </c>
      <c r="T2" s="19">
        <v>43366.0</v>
      </c>
      <c r="U2" s="20">
        <v>43368.0</v>
      </c>
      <c r="V2" s="20">
        <v>43370.0</v>
      </c>
      <c r="W2" s="19">
        <v>43373.0</v>
      </c>
      <c r="X2" s="21" t="s">
        <v>16</v>
      </c>
      <c r="Y2" s="22"/>
      <c r="Z2" s="22"/>
      <c r="AA2" s="23"/>
      <c r="AB2" s="24"/>
      <c r="AC2" s="22"/>
    </row>
    <row r="3" ht="15.75" hidden="1" customHeight="1">
      <c r="A3" s="25">
        <f t="shared" ref="A3:A9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5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18</v>
      </c>
      <c r="E3" s="28" t="s">
        <v>19</v>
      </c>
      <c r="F3" s="28"/>
      <c r="G3" s="29" t="s">
        <v>20</v>
      </c>
      <c r="H3" s="30" t="s">
        <v>21</v>
      </c>
      <c r="I3" s="31" t="s">
        <v>22</v>
      </c>
      <c r="J3" s="32" t="s">
        <v>23</v>
      </c>
      <c r="K3" s="30"/>
      <c r="L3" s="30" t="s">
        <v>21</v>
      </c>
      <c r="M3" s="30" t="s">
        <v>21</v>
      </c>
      <c r="N3" s="30"/>
      <c r="O3" s="30" t="s">
        <v>21</v>
      </c>
      <c r="P3" s="30" t="s">
        <v>24</v>
      </c>
      <c r="Q3" s="30"/>
      <c r="R3" s="30" t="s">
        <v>21</v>
      </c>
      <c r="S3" s="30" t="s">
        <v>21</v>
      </c>
      <c r="T3" s="30"/>
      <c r="U3" s="30" t="s">
        <v>21</v>
      </c>
      <c r="V3" s="30" t="s">
        <v>21</v>
      </c>
      <c r="W3" s="30"/>
      <c r="X3" s="33" t="str">
        <f t="shared" ref="X3:X7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)/$X$1</f>
        <v>#REF!</v>
      </c>
      <c r="Y3" s="34" t="s">
        <v>21</v>
      </c>
      <c r="Z3" s="35" t="s">
        <v>25</v>
      </c>
      <c r="AA3" s="36"/>
      <c r="AB3" s="36"/>
      <c r="AC3" s="37"/>
    </row>
    <row r="4" ht="15.75" hidden="1" customHeight="1">
      <c r="A4" s="25">
        <f t="shared" si="1"/>
        <v>1</v>
      </c>
      <c r="B4" s="25">
        <f t="shared" si="2"/>
        <v>1</v>
      </c>
      <c r="C4" s="26" t="s">
        <v>17</v>
      </c>
      <c r="D4" s="27" t="s">
        <v>32</v>
      </c>
      <c r="E4" s="28" t="s">
        <v>19</v>
      </c>
      <c r="F4" s="28"/>
      <c r="G4" s="29" t="s">
        <v>20</v>
      </c>
      <c r="H4" s="30" t="s">
        <v>30</v>
      </c>
      <c r="I4" s="31" t="s">
        <v>22</v>
      </c>
      <c r="J4" s="32" t="s">
        <v>23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0" t="s">
        <v>30</v>
      </c>
      <c r="W4" s="30" t="s">
        <v>30</v>
      </c>
      <c r="X4" s="33" t="str">
        <f t="shared" si="3"/>
        <v>#REF!</v>
      </c>
      <c r="Y4" s="30" t="s">
        <v>33</v>
      </c>
      <c r="Z4" s="38" t="s">
        <v>34</v>
      </c>
      <c r="AA4" s="4"/>
      <c r="AB4" s="4"/>
      <c r="AC4" s="5"/>
    </row>
    <row r="5" ht="15.75" hidden="1" customHeight="1">
      <c r="A5" s="25">
        <f t="shared" si="1"/>
        <v>1</v>
      </c>
      <c r="B5" s="25">
        <f t="shared" si="2"/>
        <v>3</v>
      </c>
      <c r="C5" s="26" t="s">
        <v>26</v>
      </c>
      <c r="D5" s="27" t="s">
        <v>27</v>
      </c>
      <c r="E5" s="28" t="s">
        <v>28</v>
      </c>
      <c r="F5" s="28" t="s">
        <v>29</v>
      </c>
      <c r="G5" s="29" t="s">
        <v>20</v>
      </c>
      <c r="H5" s="30" t="s">
        <v>30</v>
      </c>
      <c r="I5" s="31" t="s">
        <v>22</v>
      </c>
      <c r="J5" s="32" t="s">
        <v>23</v>
      </c>
      <c r="K5" s="30" t="s">
        <v>30</v>
      </c>
      <c r="L5" s="30" t="s">
        <v>30</v>
      </c>
      <c r="M5" s="30" t="s">
        <v>21</v>
      </c>
      <c r="N5" s="30" t="s">
        <v>30</v>
      </c>
      <c r="O5" s="30" t="s">
        <v>30</v>
      </c>
      <c r="P5" s="30" t="s">
        <v>30</v>
      </c>
      <c r="Q5" s="30" t="s">
        <v>30</v>
      </c>
      <c r="R5" s="30" t="s">
        <v>30</v>
      </c>
      <c r="S5" s="30" t="s">
        <v>30</v>
      </c>
      <c r="T5" s="30" t="s">
        <v>30</v>
      </c>
      <c r="U5" s="30" t="s">
        <v>30</v>
      </c>
      <c r="V5" s="30" t="s">
        <v>30</v>
      </c>
      <c r="W5" s="30" t="s">
        <v>30</v>
      </c>
      <c r="X5" s="33" t="str">
        <f t="shared" si="3"/>
        <v>#REF!</v>
      </c>
      <c r="Y5" s="30" t="s">
        <v>24</v>
      </c>
      <c r="Z5" s="38" t="s">
        <v>36</v>
      </c>
      <c r="AA5" s="4"/>
      <c r="AB5" s="4"/>
      <c r="AC5" s="5"/>
    </row>
    <row r="6" ht="15.75" hidden="1" customHeight="1">
      <c r="A6" s="25">
        <f t="shared" si="1"/>
        <v>1</v>
      </c>
      <c r="B6" s="25">
        <f t="shared" si="2"/>
        <v>15</v>
      </c>
      <c r="C6" s="26" t="s">
        <v>31</v>
      </c>
      <c r="D6" s="27" t="s">
        <v>35</v>
      </c>
      <c r="E6" s="28" t="s">
        <v>19</v>
      </c>
      <c r="F6" s="28"/>
      <c r="G6" s="29" t="s">
        <v>20</v>
      </c>
      <c r="H6" s="30" t="s">
        <v>30</v>
      </c>
      <c r="I6" s="31" t="s">
        <v>22</v>
      </c>
      <c r="J6" s="32" t="s">
        <v>23</v>
      </c>
      <c r="K6" s="30"/>
      <c r="L6" s="30" t="s">
        <v>21</v>
      </c>
      <c r="M6" s="30" t="s">
        <v>21</v>
      </c>
      <c r="N6" s="30"/>
      <c r="O6" s="30" t="s">
        <v>21</v>
      </c>
      <c r="P6" s="30" t="s">
        <v>21</v>
      </c>
      <c r="Q6" s="30"/>
      <c r="R6" s="30" t="s">
        <v>24</v>
      </c>
      <c r="S6" s="30" t="s">
        <v>24</v>
      </c>
      <c r="T6" s="30"/>
      <c r="U6" s="30" t="s">
        <v>24</v>
      </c>
      <c r="V6" s="30" t="s">
        <v>24</v>
      </c>
      <c r="W6" s="30"/>
      <c r="X6" s="33" t="str">
        <f t="shared" si="3"/>
        <v>#REF!</v>
      </c>
      <c r="Y6" s="30" t="s">
        <v>37</v>
      </c>
      <c r="Z6" s="40" t="s">
        <v>44</v>
      </c>
      <c r="AA6" s="4"/>
      <c r="AB6" s="4"/>
      <c r="AC6" s="5"/>
    </row>
    <row r="7" ht="15.75" hidden="1" customHeight="1">
      <c r="A7" s="25">
        <f t="shared" si="1"/>
        <v>2</v>
      </c>
      <c r="B7" s="25">
        <f t="shared" si="2"/>
        <v>4</v>
      </c>
      <c r="C7" s="26" t="s">
        <v>39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/>
      <c r="L7" s="30" t="s">
        <v>24</v>
      </c>
      <c r="M7" s="39" t="s">
        <v>21</v>
      </c>
      <c r="N7" s="30"/>
      <c r="O7" s="30" t="s">
        <v>24</v>
      </c>
      <c r="P7" s="30" t="s">
        <v>24</v>
      </c>
      <c r="Q7" s="30"/>
      <c r="R7" s="30" t="s">
        <v>52</v>
      </c>
      <c r="S7" s="30" t="s">
        <v>24</v>
      </c>
      <c r="T7" s="30"/>
      <c r="U7" s="30" t="s">
        <v>24</v>
      </c>
      <c r="V7" s="30" t="s">
        <v>24</v>
      </c>
      <c r="W7" s="30"/>
      <c r="X7" s="33" t="str">
        <f t="shared" si="3"/>
        <v>#REF!</v>
      </c>
      <c r="Y7" s="30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8</v>
      </c>
      <c r="C8" s="26" t="s">
        <v>54</v>
      </c>
      <c r="D8" s="27" t="s">
        <v>47</v>
      </c>
      <c r="E8" s="28" t="s">
        <v>41</v>
      </c>
      <c r="F8" s="28" t="s">
        <v>48</v>
      </c>
      <c r="G8" s="29" t="s">
        <v>49</v>
      </c>
      <c r="H8" s="30" t="s">
        <v>21</v>
      </c>
      <c r="I8" s="31" t="s">
        <v>50</v>
      </c>
      <c r="J8" s="32" t="s">
        <v>51</v>
      </c>
      <c r="K8" s="30"/>
      <c r="L8" s="30" t="s">
        <v>21</v>
      </c>
      <c r="M8" s="41" t="s">
        <v>21</v>
      </c>
      <c r="N8" s="30"/>
      <c r="O8" s="30" t="s">
        <v>21</v>
      </c>
      <c r="P8" s="30" t="s">
        <v>21</v>
      </c>
      <c r="Q8" s="30"/>
      <c r="R8" s="30" t="s">
        <v>21</v>
      </c>
      <c r="S8" s="30" t="s">
        <v>21</v>
      </c>
      <c r="T8" s="30"/>
      <c r="U8" s="30" t="s">
        <v>21</v>
      </c>
      <c r="V8" s="30" t="s">
        <v>21</v>
      </c>
      <c r="W8" s="30"/>
      <c r="X8" s="33" t="str">
        <f t="shared" ref="X8:X9" si="4">SUM( (COUNTIF(K8,"A") + (COUNTIF(K8,"T")/2) + (COUNTIF(K8,"O")/2) )+ (COUNTIF(M8,"A") + (COUNTIF(M8,"T")/2) + (COUNTIF(M8,"O")/2) )+ (COUNTIF(#REF!,"A") + (COUNTIF(#REF!,"T")/2) + (COUNTIF(#REF!,"O")/2) )+ (COUNTIF(N8,"A") + (COUNTIF(N8,"T")/2) + (COUNTIF(N8,"O")/2) )+ (COUNTIF(O8,"A") + (COUNTIF(O8,"T")/2) + (COUNTIF(O8,"O")/2) )+ (COUNTIF(P8,"A") + (COUNTIF(P8,"T")/2) + (COUNTIF(P8,"O")/2) )+ (COUNTIF(Q8,"A") + (COUNTIF(Q8,"T")/2) + (COUNTIF(Q8,"O")/2) )+ (COUNTIF(R8,"A") + (COUNTIF(R8,"T")/2) + (COUNTIF(R8,"O")/2) )+ (COUNTIF(S8,"A") + (COUNTIF(S8,"T")/2) + (COUNTIF(S8,"O")/2) )+ (COUNTIF(#REF!,"A") + (COUNTIF(#REF!,"T")/2) + (COUNTIF(#REF!,"O")/2) )+ (COUNTIF(T8,"A") + (COUNTIF(T8,"T")/2) + (COUNTIF(T8,"O")/2) )+ (COUNTIF(U8,"A") + (COUNTIF(U8,"T")/2) + (COUNTIF(U8,"O")/2) )+ (COUNTIF(V8,"A") + (COUNTIF(V8,"T")/2) + (COUNTIF(V8,"O")/2) ) )/$X$1</f>
        <v>#REF!</v>
      </c>
      <c r="Y8" s="30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55</v>
      </c>
      <c r="E9" s="28" t="s">
        <v>41</v>
      </c>
      <c r="F9" s="28" t="s">
        <v>56</v>
      </c>
      <c r="G9" s="29" t="s">
        <v>49</v>
      </c>
      <c r="H9" s="30" t="s">
        <v>21</v>
      </c>
      <c r="I9" s="31" t="s">
        <v>50</v>
      </c>
      <c r="J9" s="32" t="s">
        <v>57</v>
      </c>
      <c r="K9" s="30"/>
      <c r="L9" s="30" t="s">
        <v>21</v>
      </c>
      <c r="M9" s="30" t="s">
        <v>21</v>
      </c>
      <c r="N9" s="30"/>
      <c r="O9" s="30" t="s">
        <v>21</v>
      </c>
      <c r="P9" s="30" t="s">
        <v>21</v>
      </c>
      <c r="Q9" s="30"/>
      <c r="R9" s="30" t="s">
        <v>21</v>
      </c>
      <c r="S9" s="30" t="s">
        <v>24</v>
      </c>
      <c r="T9" s="30"/>
      <c r="U9" s="30" t="s">
        <v>21</v>
      </c>
      <c r="V9" s="30" t="s">
        <v>21</v>
      </c>
      <c r="W9" s="30"/>
      <c r="X9" s="33" t="str">
        <f t="shared" si="4"/>
        <v>#REF!</v>
      </c>
      <c r="Y9" s="30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8</v>
      </c>
      <c r="C10" s="26" t="s">
        <v>54</v>
      </c>
      <c r="D10" s="27" t="s">
        <v>60</v>
      </c>
      <c r="E10" s="28" t="s">
        <v>61</v>
      </c>
      <c r="F10" s="28" t="s">
        <v>56</v>
      </c>
      <c r="G10" s="29" t="s">
        <v>62</v>
      </c>
      <c r="H10" s="30" t="s">
        <v>21</v>
      </c>
      <c r="I10" s="31" t="s">
        <v>50</v>
      </c>
      <c r="J10" s="32" t="s">
        <v>63</v>
      </c>
      <c r="K10" s="30"/>
      <c r="L10" s="30" t="s">
        <v>21</v>
      </c>
      <c r="M10" s="30" t="s">
        <v>21</v>
      </c>
      <c r="N10" s="30"/>
      <c r="O10" s="30" t="s">
        <v>21</v>
      </c>
      <c r="P10" s="30" t="s">
        <v>21</v>
      </c>
      <c r="Q10" s="30"/>
      <c r="R10" s="30" t="s">
        <v>21</v>
      </c>
      <c r="S10" s="30" t="s">
        <v>21</v>
      </c>
      <c r="T10" s="30"/>
      <c r="U10" s="30" t="s">
        <v>21</v>
      </c>
      <c r="V10" s="30" t="s">
        <v>21</v>
      </c>
      <c r="W10" s="30"/>
      <c r="X10" s="33" t="str">
        <f t="shared" ref="X10:X16" si="5">SUM( (COUNTIF(K10,"A") + (COUNTIF(K10,"T")/2) + (COUNTIF(K10,"O")/2) )+ (COUNTIF(L10,"A") + (COUNTIF(L10,"T")/2) + (COUNTIF(L10,"O")/2) )+ (COUNTIF(M10,"A") + (COUNTIF(M10,"T")/2) + (COUNTIF(M10,"O")/2) )+ (COUNTIF(N10,"A") + (COUNTIF(N10,"T")/2) + (COUNTIF(N10,"O")/2) )+ (COUNTIF(O10,"A") + (COUNTIF(O10,"T")/2) + (COUNTIF(O10,"O")/2) )+ (COUNTIF(P10,"A") + (COUNTIF(P10,"T")/2) + (COUNTIF(P10,"O")/2) )+ (COUNTIF(Q10,"A") + (COUNTIF(Q10,"T")/2) + (COUNTIF(Q10,"O")/2) )+ (COUNTIF(R10,"A") + (COUNTIF(R10,"T")/2) + (COUNTIF(R10,"O")/2) )+ (COUNTIF(S10,"A") + (COUNTIF(S10,"T")/2) + (COUNTIF(S10,"O")/2) )+ (COUNTIF(#REF!,"A") + (COUNTIF(#REF!,"T")/2) + (COUNTIF(#REF!,"O")/2) )+ (COUNTIF(T10,"A") + (COUNTIF(T10,"T")/2) + (COUNTIF(T10,"O")/2) )+ (COUNTIF(U10,"A") + (COUNTIF(U10,"T")/2) + (COUNTIF(U10,"O")/2) )+ (COUNTIF(V10,"A") + (COUNTIF(V10,"T")/2) + (COUNTIF(V10,"O")/2) ) )/$X$1</f>
        <v>#REF!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61</v>
      </c>
      <c r="F11" s="28" t="s">
        <v>19</v>
      </c>
      <c r="G11" s="29" t="s">
        <v>20</v>
      </c>
      <c r="H11" s="30" t="s">
        <v>21</v>
      </c>
      <c r="I11" s="31" t="s">
        <v>50</v>
      </c>
      <c r="J11" s="32" t="s">
        <v>68</v>
      </c>
      <c r="K11" s="30"/>
      <c r="L11" s="30" t="s">
        <v>24</v>
      </c>
      <c r="M11" s="30" t="s">
        <v>52</v>
      </c>
      <c r="N11" s="30"/>
      <c r="O11" s="30" t="s">
        <v>24</v>
      </c>
      <c r="P11" s="30" t="s">
        <v>24</v>
      </c>
      <c r="Q11" s="30"/>
      <c r="R11" s="30" t="s">
        <v>21</v>
      </c>
      <c r="S11" s="30" t="s">
        <v>24</v>
      </c>
      <c r="T11" s="30"/>
      <c r="U11" s="30" t="s">
        <v>24</v>
      </c>
      <c r="V11" s="30" t="s">
        <v>21</v>
      </c>
      <c r="W11" s="30"/>
      <c r="X11" s="33" t="str">
        <f t="shared" si="5"/>
        <v>#REF!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84</v>
      </c>
      <c r="D12" s="27" t="s">
        <v>69</v>
      </c>
      <c r="E12" s="28" t="s">
        <v>19</v>
      </c>
      <c r="F12" s="28" t="s">
        <v>70</v>
      </c>
      <c r="G12" s="29" t="s">
        <v>71</v>
      </c>
      <c r="H12" s="30" t="s">
        <v>21</v>
      </c>
      <c r="I12" s="31" t="s">
        <v>50</v>
      </c>
      <c r="J12" s="32" t="s">
        <v>68</v>
      </c>
      <c r="K12" s="30"/>
      <c r="L12" s="42" t="s">
        <v>21</v>
      </c>
      <c r="M12" s="30" t="s">
        <v>21</v>
      </c>
      <c r="N12" s="30"/>
      <c r="O12" s="30" t="s">
        <v>21</v>
      </c>
      <c r="P12" s="30" t="s">
        <v>21</v>
      </c>
      <c r="Q12" s="30"/>
      <c r="R12" s="30" t="s">
        <v>21</v>
      </c>
      <c r="S12" s="30" t="s">
        <v>21</v>
      </c>
      <c r="T12" s="30"/>
      <c r="U12" s="30" t="s">
        <v>21</v>
      </c>
      <c r="V12" s="30" t="s">
        <v>24</v>
      </c>
      <c r="W12" s="30"/>
      <c r="X12" s="33" t="str">
        <f t="shared" si="5"/>
        <v>#REF!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10</v>
      </c>
      <c r="C13" s="26" t="s">
        <v>84</v>
      </c>
      <c r="D13" s="27" t="s">
        <v>75</v>
      </c>
      <c r="E13" s="28" t="s">
        <v>70</v>
      </c>
      <c r="F13" s="28" t="s">
        <v>76</v>
      </c>
      <c r="G13" s="29" t="s">
        <v>71</v>
      </c>
      <c r="H13" s="30" t="s">
        <v>21</v>
      </c>
      <c r="I13" s="31" t="s">
        <v>50</v>
      </c>
      <c r="J13" s="32" t="s">
        <v>68</v>
      </c>
      <c r="K13" s="30"/>
      <c r="L13" s="30" t="s">
        <v>24</v>
      </c>
      <c r="M13" s="30" t="s">
        <v>21</v>
      </c>
      <c r="N13" s="30"/>
      <c r="O13" s="30" t="s">
        <v>24</v>
      </c>
      <c r="P13" s="30" t="s">
        <v>21</v>
      </c>
      <c r="Q13" s="30"/>
      <c r="R13" s="30" t="s">
        <v>24</v>
      </c>
      <c r="S13" s="30" t="s">
        <v>24</v>
      </c>
      <c r="T13" s="30"/>
      <c r="U13" s="30" t="s">
        <v>24</v>
      </c>
      <c r="V13" s="30" t="s">
        <v>24</v>
      </c>
      <c r="W13" s="30"/>
      <c r="X13" s="33" t="str">
        <f t="shared" si="5"/>
        <v>#REF!</v>
      </c>
      <c r="Y13" s="45" t="s">
        <v>77</v>
      </c>
      <c r="Z13" s="46">
        <f>COUNTIF(I3:I98,"1° P - 1°M")</f>
        <v>18</v>
      </c>
      <c r="AA13" s="44"/>
      <c r="AB13" s="45" t="s">
        <v>78</v>
      </c>
      <c r="AC13" s="46">
        <f>COUNTIF(C3:C98,"Rct.")</f>
        <v>10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80</v>
      </c>
      <c r="E14" s="28" t="s">
        <v>56</v>
      </c>
      <c r="F14" s="28" t="s">
        <v>19</v>
      </c>
      <c r="G14" s="29" t="s">
        <v>71</v>
      </c>
      <c r="H14" s="30" t="s">
        <v>21</v>
      </c>
      <c r="I14" s="31" t="s">
        <v>50</v>
      </c>
      <c r="J14" s="32" t="s">
        <v>68</v>
      </c>
      <c r="K14" s="30"/>
      <c r="L14" s="30" t="s">
        <v>21</v>
      </c>
      <c r="M14" s="30" t="s">
        <v>21</v>
      </c>
      <c r="N14" s="30"/>
      <c r="O14" s="30" t="s">
        <v>21</v>
      </c>
      <c r="P14" s="30" t="s">
        <v>21</v>
      </c>
      <c r="Q14" s="30"/>
      <c r="R14" s="30" t="s">
        <v>24</v>
      </c>
      <c r="S14" s="30" t="s">
        <v>24</v>
      </c>
      <c r="T14" s="30"/>
      <c r="U14" s="30" t="s">
        <v>24</v>
      </c>
      <c r="V14" s="30" t="s">
        <v>24</v>
      </c>
      <c r="W14" s="42"/>
      <c r="X14" s="33" t="str">
        <f t="shared" si="5"/>
        <v>#REF!</v>
      </c>
      <c r="Y14" s="45" t="s">
        <v>81</v>
      </c>
      <c r="Z14" s="46">
        <f>COUNTIF(I3:I98,"1° P - 2°M")</f>
        <v>11</v>
      </c>
      <c r="AA14" s="44"/>
      <c r="AB14" s="45" t="s">
        <v>82</v>
      </c>
      <c r="AC14" s="46">
        <f>COUNTIF(C3:C98,"Inf.")</f>
        <v>18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64</v>
      </c>
      <c r="D15" s="27" t="s">
        <v>83</v>
      </c>
      <c r="E15" s="28" t="s">
        <v>76</v>
      </c>
      <c r="F15" s="28" t="s">
        <v>70</v>
      </c>
      <c r="G15" s="29" t="s">
        <v>49</v>
      </c>
      <c r="H15" s="30" t="s">
        <v>21</v>
      </c>
      <c r="I15" s="31" t="s">
        <v>50</v>
      </c>
      <c r="J15" s="32" t="s">
        <v>85</v>
      </c>
      <c r="K15" s="30"/>
      <c r="L15" s="30" t="s">
        <v>24</v>
      </c>
      <c r="M15" s="30" t="s">
        <v>21</v>
      </c>
      <c r="N15" s="30"/>
      <c r="O15" s="30" t="s">
        <v>24</v>
      </c>
      <c r="P15" s="30" t="s">
        <v>52</v>
      </c>
      <c r="Q15" s="30"/>
      <c r="R15" s="30" t="s">
        <v>24</v>
      </c>
      <c r="S15" s="30" t="s">
        <v>24</v>
      </c>
      <c r="T15" s="30"/>
      <c r="U15" s="30" t="s">
        <v>24</v>
      </c>
      <c r="V15" s="30" t="s">
        <v>24</v>
      </c>
      <c r="W15" s="30"/>
      <c r="X15" s="33" t="str">
        <f t="shared" si="5"/>
        <v>#REF!</v>
      </c>
      <c r="Y15" s="45" t="s">
        <v>86</v>
      </c>
      <c r="Z15" s="46">
        <f>COUNTIF(I3:I98,"1° PP - 1°Pa")</f>
        <v>11</v>
      </c>
      <c r="AA15" s="44"/>
      <c r="AB15" s="45" t="s">
        <v>87</v>
      </c>
      <c r="AC15" s="46">
        <f>COUNTIF(C3:C98,"Dis.")</f>
        <v>14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88</v>
      </c>
      <c r="E16" s="28" t="s">
        <v>19</v>
      </c>
      <c r="F16" s="28"/>
      <c r="G16" s="29" t="s">
        <v>62</v>
      </c>
      <c r="H16" s="30" t="s">
        <v>21</v>
      </c>
      <c r="I16" s="31" t="s">
        <v>50</v>
      </c>
      <c r="J16" s="32" t="s">
        <v>85</v>
      </c>
      <c r="K16" s="30"/>
      <c r="L16" s="30" t="s">
        <v>21</v>
      </c>
      <c r="M16" s="30" t="s">
        <v>21</v>
      </c>
      <c r="N16" s="30"/>
      <c r="O16" s="30" t="s">
        <v>21</v>
      </c>
      <c r="P16" s="30" t="s">
        <v>21</v>
      </c>
      <c r="Q16" s="30"/>
      <c r="R16" s="30" t="s">
        <v>24</v>
      </c>
      <c r="S16" s="30" t="s">
        <v>21</v>
      </c>
      <c r="T16" s="30"/>
      <c r="U16" s="30" t="s">
        <v>21</v>
      </c>
      <c r="V16" s="30" t="s">
        <v>21</v>
      </c>
      <c r="W16" s="30"/>
      <c r="X16" s="33" t="str">
        <f t="shared" si="5"/>
        <v>#REF!</v>
      </c>
      <c r="Y16" s="45" t="s">
        <v>89</v>
      </c>
      <c r="Z16" s="46">
        <f>COUNTIF(I3:I98,"Espectro")</f>
        <v>3</v>
      </c>
      <c r="AA16" s="44"/>
      <c r="AB16" s="45" t="s">
        <v>90</v>
      </c>
      <c r="AC16" s="46">
        <f>COUNTIF(C3:C98,"Cbo.")</f>
        <v>10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94</v>
      </c>
      <c r="E17" s="28" t="s">
        <v>19</v>
      </c>
      <c r="F17" s="28" t="s">
        <v>41</v>
      </c>
      <c r="G17" s="29" t="s">
        <v>49</v>
      </c>
      <c r="H17" s="42" t="s">
        <v>21</v>
      </c>
      <c r="I17" s="31" t="s">
        <v>50</v>
      </c>
      <c r="J17" s="32" t="s">
        <v>85</v>
      </c>
      <c r="K17" s="42"/>
      <c r="L17" s="42" t="s">
        <v>21</v>
      </c>
      <c r="M17" s="42" t="s">
        <v>21</v>
      </c>
      <c r="N17" s="42"/>
      <c r="O17" s="42" t="s">
        <v>21</v>
      </c>
      <c r="P17" s="42" t="s">
        <v>21</v>
      </c>
      <c r="Q17" s="42"/>
      <c r="R17" s="42" t="s">
        <v>21</v>
      </c>
      <c r="S17" s="42" t="s">
        <v>21</v>
      </c>
      <c r="T17" s="42"/>
      <c r="U17" s="42" t="s">
        <v>21</v>
      </c>
      <c r="V17" s="42" t="s">
        <v>21</v>
      </c>
      <c r="W17" s="42"/>
      <c r="X17" s="33" t="str">
        <f>SUM( (COUNTIF(K17,"A") + (COUNTIF(K17,"T")/2) + (COUNTIF(K17,"O")/2) )+ (COUNTIF(M17,"A") + (COUNTIF(M17,"T")/2) + (COUNTIF(M17,"O")/2) )+ (COUNTIF(#REF!,"A") + (COUNTIF(#REF!,"T")/2) + (COUNTIF(#REF!,"O")/2) )+ (COUNTIF(N17,"A") + (COUNTIF(N17,"T")/2) + (COUNTIF(N17,"O")/2) )+ (COUNTIF(O17,"A") + (COUNTIF(O17,"T")/2) + (COUNTIF(O17,"O")/2) )+ (COUNTIF(P17,"A") + (COUNTIF(P17,"T")/2) + (COUNTIF(P17,"O")/2) )+ (COUNTIF(Q17,"A") + (COUNTIF(Q17,"T")/2) + (COUNTIF(Q17,"O")/2) )+ (COUNTIF(R17,"A") + (COUNTIF(R17,"T")/2) + (COUNTIF(R17,"O")/2) )+ (COUNTIF(S17,"A") + (COUNTIF(S17,"T")/2) + (COUNTIF(S17,"O")/2) )+ (COUNTIF(#REF!,"A") + (COUNTIF(#REF!,"T")/2) + (COUNTIF(#REF!,"O")/2) )+ (COUNTIF(T17,"A") + (COUNTIF(T17,"T")/2) + (COUNTIF(T17,"O")/2) )+ (COUNTIF(U17,"A") + (COUNTIF(U17,"T")/2) + (COUNTIF(U17,"O")/2) )+ (COUNTIF(V17,"A") + (COUNTIF(V17,"T")/2) + (COUNTIF(V17,"O")/2) ) )/$X$1</f>
        <v>#REF!</v>
      </c>
      <c r="Y17" s="45" t="s">
        <v>92</v>
      </c>
      <c r="Z17" s="46">
        <f>COUNTIF(I3:I98,"Caballeria")</f>
        <v>11</v>
      </c>
      <c r="AA17" s="44"/>
      <c r="AB17" s="45" t="s">
        <v>93</v>
      </c>
      <c r="AC17" s="46">
        <f>COUNTIF(C3:C98,"Cbo1.")</f>
        <v>6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79</v>
      </c>
      <c r="D18" s="27" t="s">
        <v>97</v>
      </c>
      <c r="E18" s="28" t="s">
        <v>19</v>
      </c>
      <c r="F18" s="28"/>
      <c r="G18" s="29" t="s">
        <v>71</v>
      </c>
      <c r="H18" s="30" t="s">
        <v>21</v>
      </c>
      <c r="I18" s="31" t="s">
        <v>50</v>
      </c>
      <c r="J18" s="32" t="s">
        <v>85</v>
      </c>
      <c r="K18" s="30"/>
      <c r="L18" s="30" t="s">
        <v>24</v>
      </c>
      <c r="M18" s="30" t="s">
        <v>21</v>
      </c>
      <c r="N18" s="30"/>
      <c r="O18" s="30" t="s">
        <v>21</v>
      </c>
      <c r="P18" s="30"/>
      <c r="Q18" s="30"/>
      <c r="R18" s="30" t="s">
        <v>21</v>
      </c>
      <c r="S18" s="30" t="s">
        <v>24</v>
      </c>
      <c r="T18" s="30"/>
      <c r="U18" s="30" t="s">
        <v>21</v>
      </c>
      <c r="V18" s="30" t="s">
        <v>24</v>
      </c>
      <c r="W18" s="30"/>
      <c r="X18" s="33" t="str">
        <f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)/$X$1</f>
        <v>#REF!</v>
      </c>
      <c r="Y18" s="45" t="s">
        <v>95</v>
      </c>
      <c r="Z18" s="46">
        <f>COUNTIF(I3:I98,"FAZR")</f>
        <v>5</v>
      </c>
      <c r="AA18" s="44"/>
      <c r="AB18" s="45" t="s">
        <v>96</v>
      </c>
      <c r="AC18" s="46">
        <f>COUNTIF(C3:C98,"Sgt.")</f>
        <v>7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79</v>
      </c>
      <c r="D19" s="27" t="s">
        <v>91</v>
      </c>
      <c r="E19" s="28" t="s">
        <v>56</v>
      </c>
      <c r="F19" s="28" t="s">
        <v>19</v>
      </c>
      <c r="G19" s="29" t="s">
        <v>49</v>
      </c>
      <c r="H19" s="30" t="s">
        <v>21</v>
      </c>
      <c r="I19" s="31" t="s">
        <v>50</v>
      </c>
      <c r="J19" s="32" t="s">
        <v>85</v>
      </c>
      <c r="K19" s="30"/>
      <c r="L19" s="30" t="s">
        <v>33</v>
      </c>
      <c r="M19" s="30" t="s">
        <v>21</v>
      </c>
      <c r="N19" s="30"/>
      <c r="O19" s="30" t="s">
        <v>24</v>
      </c>
      <c r="P19" s="30" t="s">
        <v>21</v>
      </c>
      <c r="Q19" s="30"/>
      <c r="R19" s="30" t="s">
        <v>24</v>
      </c>
      <c r="S19" s="30" t="s">
        <v>24</v>
      </c>
      <c r="T19" s="30"/>
      <c r="U19" s="30" t="s">
        <v>21</v>
      </c>
      <c r="V19" s="30" t="s">
        <v>24</v>
      </c>
      <c r="W19" s="30"/>
      <c r="X19" s="33" t="str">
        <f>SUM( (COUNTIF(K19,"A") + (COUNTIF(K19,"T")/2) + (COUNTIF(K19,"O")/2) )+ (COUNTIF(M19,"A") + (COUNTIF(M19,"T")/2) + (COUNTIF(M19,"O")/2) )+ (COUNTIF(#REF!,"A") + (COUNTIF(#REF!,"T")/2) + (COUNTIF(#REF!,"O")/2) )+ (COUNTIF(N19,"A") + (COUNTIF(N19,"T")/2) + (COUNTIF(N19,"O")/2) )+ (COUNTIF(O19,"A") + (COUNTIF(O19,"T")/2) + (COUNTIF(O19,"O")/2) )+ (COUNTIF(P19,"A") + (COUNTIF(P19,"T")/2) + (COUNTIF(P19,"O")/2) )+ (COUNTIF(Q19,"A") + (COUNTIF(Q19,"T")/2) + (COUNTIF(Q19,"O")/2) )+ (COUNTIF(R19,"A") + (COUNTIF(R19,"T")/2) + (COUNTIF(R19,"O")/2) )+ (COUNTIF(S19,"A") + (COUNTIF(S19,"T")/2) + (COUNTIF(S19,"O")/2) )+ (COUNTIF(#REF!,"A") + (COUNTIF(#REF!,"T")/2) + (COUNTIF(#REF!,"O")/2) )+ (COUNTIF(T19,"A") + (COUNTIF(T19,"T")/2) + (COUNTIF(T19,"O")/2) )+ (COUNTIF(U19,"A") + (COUNTIF(U19,"T")/2) + (COUNTIF(U19,"O")/2) )+ (COUNTIF(V19,"A") + (COUNTIF(V19,"T")/2) + (COUNTIF(V19,"O")/2) ) )/$X$1</f>
        <v>#REF!</v>
      </c>
      <c r="Y19" s="45" t="s">
        <v>98</v>
      </c>
      <c r="Z19" s="46">
        <v>6.0</v>
      </c>
      <c r="AA19" s="44"/>
      <c r="AB19" s="45" t="s">
        <v>99</v>
      </c>
      <c r="AC19" s="46">
        <f>COUNTIF(C3:C98,"Sgt1.")</f>
        <v>0</v>
      </c>
    </row>
    <row r="20" ht="15.75" customHeight="1">
      <c r="A20" s="25">
        <f t="shared" si="1"/>
        <v>3</v>
      </c>
      <c r="B20" s="25">
        <f t="shared" si="2"/>
        <v>7</v>
      </c>
      <c r="C20" s="26" t="s">
        <v>46</v>
      </c>
      <c r="D20" s="27" t="s">
        <v>100</v>
      </c>
      <c r="E20" s="28" t="s">
        <v>41</v>
      </c>
      <c r="F20" s="28" t="s">
        <v>28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0" t="s">
        <v>30</v>
      </c>
      <c r="X20" s="33" t="str">
        <f t="shared" ref="X20:X62" si="6">SUM( (COUNTIF(K20,"A") + (COUNTIF(K20,"T")/2) + (COUNTIF(K20,"O")/2) )+ (COUNTIF(L20,"A") + (COUNTIF(L20,"T")/2) + (COUNTIF(L20,"O")/2) )+ (COUNTIF(M20,"A") + (COUNTIF(M20,"T")/2) + (COUNTIF(M20,"O")/2) )+ (COUNTIF(N20,"A") + (COUNTIF(N20,"T")/2) + (COUNTIF(N20,"O")/2) )+ (COUNTIF(O20,"A") + (COUNTIF(O20,"T")/2) + (COUNTIF(O20,"O")/2) )+ (COUNTIF(P20,"A") + (COUNTIF(P20,"T")/2) + (COUNTIF(P20,"O")/2) )+ (COUNTIF(Q20,"A") + (COUNTIF(Q20,"T")/2) + (COUNTIF(Q20,"O")/2) )+ (COUNTIF(R20,"A") + (COUNTIF(R20,"T")/2) + (COUNTIF(R20,"O")/2) )+ (COUNTIF(S20,"A") + (COUNTIF(S20,"T")/2) + (COUNTIF(S20,"O")/2) )+ (COUNTIF(#REF!,"A") + (COUNTIF(#REF!,"T")/2) + (COUNTIF(#REF!,"O")/2) )+ (COUNTIF(T20,"A") + (COUNTIF(T20,"T")/2) + (COUNTIF(T20,"O")/2) )+ (COUNTIF(U20,"A") + (COUNTIF(U20,"T")/2) + (COUNTIF(U20,"O")/2) )+ (COUNTIF(V20,"A") + (COUNTIF(V20,"T")/2) + (COUNTIF(V20,"O")/2) ) )/$X$1</f>
        <v>#REF!</v>
      </c>
      <c r="Y20" s="45" t="s">
        <v>101</v>
      </c>
      <c r="Z20" s="46">
        <f>COUNTIF(H3:H98,"R")</f>
        <v>24</v>
      </c>
      <c r="AA20" s="44"/>
      <c r="AB20" s="45" t="s">
        <v>102</v>
      </c>
      <c r="AC20" s="46">
        <f>COUNTIF(C3:C98,"SgtM.")</f>
        <v>1</v>
      </c>
    </row>
    <row r="21" ht="15.75" customHeight="1">
      <c r="A21" s="25">
        <f t="shared" si="1"/>
        <v>3</v>
      </c>
      <c r="B21" s="25">
        <f t="shared" si="2"/>
        <v>8</v>
      </c>
      <c r="C21" s="26" t="s">
        <v>54</v>
      </c>
      <c r="D21" s="27" t="s">
        <v>103</v>
      </c>
      <c r="E21" s="28" t="s">
        <v>70</v>
      </c>
      <c r="F21" s="28" t="s">
        <v>19</v>
      </c>
      <c r="G21" s="29" t="s">
        <v>20</v>
      </c>
      <c r="H21" s="30" t="s">
        <v>30</v>
      </c>
      <c r="I21" s="31" t="s">
        <v>50</v>
      </c>
      <c r="J21" s="32"/>
      <c r="K21" s="30" t="s">
        <v>30</v>
      </c>
      <c r="L21" s="30" t="s">
        <v>30</v>
      </c>
      <c r="M21" s="30" t="s">
        <v>30</v>
      </c>
      <c r="N21" s="30" t="s">
        <v>30</v>
      </c>
      <c r="O21" s="30" t="s">
        <v>30</v>
      </c>
      <c r="P21" s="30" t="s">
        <v>30</v>
      </c>
      <c r="Q21" s="30" t="s">
        <v>30</v>
      </c>
      <c r="R21" s="30" t="s">
        <v>30</v>
      </c>
      <c r="S21" s="30" t="s">
        <v>30</v>
      </c>
      <c r="T21" s="30" t="s">
        <v>30</v>
      </c>
      <c r="U21" s="30" t="s">
        <v>30</v>
      </c>
      <c r="V21" s="30" t="s">
        <v>30</v>
      </c>
      <c r="W21" s="30" t="s">
        <v>30</v>
      </c>
      <c r="X21" s="33" t="str">
        <f t="shared" si="6"/>
        <v>#REF!</v>
      </c>
      <c r="Y21" s="45" t="s">
        <v>38</v>
      </c>
      <c r="Z21" s="46">
        <f>COUNTIF(H3:H98,"L")</f>
        <v>1</v>
      </c>
      <c r="AA21" s="44"/>
      <c r="AB21" s="45" t="s">
        <v>104</v>
      </c>
      <c r="AC21" s="46">
        <f>COUNTIF(C3:C98,"Tte.")</f>
        <v>0</v>
      </c>
    </row>
    <row r="22" ht="15.75" customHeight="1">
      <c r="A22" s="25">
        <f t="shared" si="1"/>
        <v>3</v>
      </c>
      <c r="B22" s="25">
        <f t="shared" si="2"/>
        <v>8</v>
      </c>
      <c r="C22" s="26" t="s">
        <v>54</v>
      </c>
      <c r="D22" s="27" t="s">
        <v>105</v>
      </c>
      <c r="E22" s="28" t="s">
        <v>41</v>
      </c>
      <c r="F22" s="28" t="s">
        <v>56</v>
      </c>
      <c r="G22" s="29" t="s">
        <v>49</v>
      </c>
      <c r="H22" s="30" t="s">
        <v>30</v>
      </c>
      <c r="I22" s="31" t="s">
        <v>50</v>
      </c>
      <c r="J22" s="32"/>
      <c r="K22" s="30" t="s">
        <v>30</v>
      </c>
      <c r="L22" s="30" t="s">
        <v>30</v>
      </c>
      <c r="M22" s="30" t="s">
        <v>30</v>
      </c>
      <c r="N22" s="30" t="s">
        <v>30</v>
      </c>
      <c r="O22" s="30" t="s">
        <v>30</v>
      </c>
      <c r="P22" s="30" t="s">
        <v>30</v>
      </c>
      <c r="Q22" s="30" t="s">
        <v>30</v>
      </c>
      <c r="R22" s="30" t="s">
        <v>30</v>
      </c>
      <c r="S22" s="30" t="s">
        <v>30</v>
      </c>
      <c r="T22" s="30" t="s">
        <v>30</v>
      </c>
      <c r="U22" s="30" t="s">
        <v>30</v>
      </c>
      <c r="V22" s="30" t="s">
        <v>30</v>
      </c>
      <c r="W22" s="30" t="s">
        <v>30</v>
      </c>
      <c r="X22" s="33" t="str">
        <f t="shared" si="6"/>
        <v>#REF!</v>
      </c>
      <c r="Y22" s="45"/>
      <c r="Z22" s="46"/>
      <c r="AA22" s="44"/>
      <c r="AB22" s="45" t="s">
        <v>106</v>
      </c>
      <c r="AC22" s="46">
        <f>COUNTIF(C3:C98,"Alf.")</f>
        <v>1</v>
      </c>
    </row>
    <row r="23" ht="15.75" customHeight="1">
      <c r="A23" s="25">
        <f t="shared" si="1"/>
        <v>3</v>
      </c>
      <c r="B23" s="25">
        <f t="shared" si="2"/>
        <v>9</v>
      </c>
      <c r="C23" s="26" t="s">
        <v>64</v>
      </c>
      <c r="D23" s="27" t="s">
        <v>107</v>
      </c>
      <c r="E23" s="28" t="s">
        <v>70</v>
      </c>
      <c r="F23" s="28" t="s">
        <v>48</v>
      </c>
      <c r="G23" s="29" t="s">
        <v>20</v>
      </c>
      <c r="H23" s="30" t="s">
        <v>30</v>
      </c>
      <c r="I23" s="31" t="s">
        <v>50</v>
      </c>
      <c r="J23" s="32"/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30</v>
      </c>
      <c r="P23" s="30" t="s">
        <v>30</v>
      </c>
      <c r="Q23" s="30" t="s">
        <v>30</v>
      </c>
      <c r="R23" s="30" t="s">
        <v>30</v>
      </c>
      <c r="S23" s="30" t="s">
        <v>30</v>
      </c>
      <c r="T23" s="30" t="s">
        <v>30</v>
      </c>
      <c r="U23" s="30" t="s">
        <v>30</v>
      </c>
      <c r="V23" s="30" t="s">
        <v>30</v>
      </c>
      <c r="W23" s="30" t="s">
        <v>30</v>
      </c>
      <c r="X23" s="33" t="str">
        <f t="shared" si="6"/>
        <v>#REF!</v>
      </c>
      <c r="Y23" s="45"/>
      <c r="Z23" s="46"/>
      <c r="AA23" s="44"/>
      <c r="AB23" s="45" t="s">
        <v>108</v>
      </c>
      <c r="AC23" s="46">
        <f>COUNTIF(C3:C98,"Cap.")</f>
        <v>2</v>
      </c>
    </row>
    <row r="24" ht="15.75" customHeight="1">
      <c r="A24" s="25">
        <f t="shared" si="1"/>
        <v>3</v>
      </c>
      <c r="B24" s="25">
        <f t="shared" si="2"/>
        <v>11</v>
      </c>
      <c r="C24" s="26" t="s">
        <v>79</v>
      </c>
      <c r="D24" s="27" t="s">
        <v>109</v>
      </c>
      <c r="E24" s="28" t="s">
        <v>19</v>
      </c>
      <c r="F24" s="28"/>
      <c r="G24" s="29" t="s">
        <v>20</v>
      </c>
      <c r="H24" s="30" t="s">
        <v>30</v>
      </c>
      <c r="I24" s="31" t="s">
        <v>50</v>
      </c>
      <c r="J24" s="32"/>
      <c r="K24" s="30" t="s">
        <v>30</v>
      </c>
      <c r="L24" s="30" t="s">
        <v>30</v>
      </c>
      <c r="M24" s="30" t="s">
        <v>30</v>
      </c>
      <c r="N24" s="30" t="s">
        <v>30</v>
      </c>
      <c r="O24" s="30" t="s">
        <v>30</v>
      </c>
      <c r="P24" s="30" t="s">
        <v>30</v>
      </c>
      <c r="Q24" s="30" t="s">
        <v>30</v>
      </c>
      <c r="R24" s="30" t="s">
        <v>30</v>
      </c>
      <c r="S24" s="30" t="s">
        <v>30</v>
      </c>
      <c r="T24" s="30" t="s">
        <v>30</v>
      </c>
      <c r="U24" s="30" t="s">
        <v>30</v>
      </c>
      <c r="V24" s="30" t="s">
        <v>30</v>
      </c>
      <c r="W24" s="30" t="s">
        <v>30</v>
      </c>
      <c r="X24" s="33" t="str">
        <f t="shared" si="6"/>
        <v>#REF!</v>
      </c>
      <c r="Y24" s="47"/>
      <c r="Z24" s="47"/>
      <c r="AA24" s="48"/>
      <c r="AB24" s="45" t="s">
        <v>110</v>
      </c>
      <c r="AC24" s="46">
        <f>COUNTIF(C3:C99,"May.")</f>
        <v>1</v>
      </c>
    </row>
    <row r="25" ht="15.75" customHeight="1">
      <c r="A25" s="25">
        <f t="shared" si="1"/>
        <v>3</v>
      </c>
      <c r="B25" s="25">
        <f t="shared" si="2"/>
        <v>11</v>
      </c>
      <c r="C25" s="26" t="s">
        <v>79</v>
      </c>
      <c r="D25" s="27" t="s">
        <v>111</v>
      </c>
      <c r="E25" s="28" t="s">
        <v>19</v>
      </c>
      <c r="F25" s="28"/>
      <c r="G25" s="29" t="s">
        <v>112</v>
      </c>
      <c r="H25" s="30" t="s">
        <v>30</v>
      </c>
      <c r="I25" s="31" t="s">
        <v>50</v>
      </c>
      <c r="J25" s="32"/>
      <c r="K25" s="30" t="s">
        <v>30</v>
      </c>
      <c r="L25" s="30" t="s">
        <v>30</v>
      </c>
      <c r="M25" s="30" t="s">
        <v>30</v>
      </c>
      <c r="N25" s="30" t="s">
        <v>30</v>
      </c>
      <c r="O25" s="30" t="s">
        <v>30</v>
      </c>
      <c r="P25" s="30" t="s">
        <v>30</v>
      </c>
      <c r="Q25" s="30" t="s">
        <v>30</v>
      </c>
      <c r="R25" s="30" t="s">
        <v>30</v>
      </c>
      <c r="S25" s="30" t="s">
        <v>30</v>
      </c>
      <c r="T25" s="30" t="s">
        <v>30</v>
      </c>
      <c r="U25" s="30" t="s">
        <v>30</v>
      </c>
      <c r="V25" s="30" t="s">
        <v>30</v>
      </c>
      <c r="W25" s="30" t="s">
        <v>30</v>
      </c>
      <c r="X25" s="33" t="str">
        <f t="shared" si="6"/>
        <v>#REF!</v>
      </c>
    </row>
    <row r="26" ht="15.75" hidden="1" customHeight="1">
      <c r="A26" s="25">
        <f t="shared" si="1"/>
        <v>4</v>
      </c>
      <c r="B26" s="25">
        <f t="shared" si="2"/>
        <v>6</v>
      </c>
      <c r="C26" s="26" t="s">
        <v>113</v>
      </c>
      <c r="D26" s="27" t="s">
        <v>114</v>
      </c>
      <c r="E26" s="28" t="s">
        <v>48</v>
      </c>
      <c r="F26" s="28" t="s">
        <v>76</v>
      </c>
      <c r="G26" s="29" t="s">
        <v>20</v>
      </c>
      <c r="H26" s="30" t="s">
        <v>21</v>
      </c>
      <c r="I26" s="31" t="s">
        <v>115</v>
      </c>
      <c r="J26" s="32" t="s">
        <v>51</v>
      </c>
      <c r="K26" s="30"/>
      <c r="L26" s="30" t="s">
        <v>21</v>
      </c>
      <c r="M26" s="30" t="s">
        <v>21</v>
      </c>
      <c r="N26" s="30"/>
      <c r="O26" s="30" t="s">
        <v>21</v>
      </c>
      <c r="P26" s="30" t="s">
        <v>24</v>
      </c>
      <c r="Q26" s="30"/>
      <c r="R26" s="30" t="s">
        <v>21</v>
      </c>
      <c r="S26" s="30" t="s">
        <v>21</v>
      </c>
      <c r="T26" s="30"/>
      <c r="U26" s="30" t="s">
        <v>21</v>
      </c>
      <c r="V26" s="30" t="s">
        <v>21</v>
      </c>
      <c r="W26" s="30"/>
      <c r="X26" s="33" t="str">
        <f t="shared" si="6"/>
        <v>#REF!</v>
      </c>
      <c r="Y26" s="43" t="s">
        <v>116</v>
      </c>
      <c r="Z26" s="43" t="s">
        <v>73</v>
      </c>
      <c r="AA26" s="48"/>
      <c r="AB26" s="43" t="s">
        <v>117</v>
      </c>
      <c r="AC26" s="43" t="s">
        <v>73</v>
      </c>
    </row>
    <row r="27" ht="15.75" hidden="1" customHeight="1">
      <c r="A27" s="25">
        <f t="shared" si="1"/>
        <v>4</v>
      </c>
      <c r="B27" s="25">
        <f t="shared" si="2"/>
        <v>8</v>
      </c>
      <c r="C27" s="26" t="s">
        <v>54</v>
      </c>
      <c r="D27" s="27" t="s">
        <v>118</v>
      </c>
      <c r="E27" s="28" t="s">
        <v>76</v>
      </c>
      <c r="F27" s="28" t="s">
        <v>28</v>
      </c>
      <c r="G27" s="29" t="s">
        <v>62</v>
      </c>
      <c r="H27" s="30" t="s">
        <v>21</v>
      </c>
      <c r="I27" s="31" t="s">
        <v>115</v>
      </c>
      <c r="J27" s="32" t="s">
        <v>57</v>
      </c>
      <c r="K27" s="30" t="s">
        <v>30</v>
      </c>
      <c r="L27" s="30" t="s">
        <v>21</v>
      </c>
      <c r="M27" s="30" t="s">
        <v>30</v>
      </c>
      <c r="N27" s="30" t="s">
        <v>30</v>
      </c>
      <c r="O27" s="30" t="s">
        <v>30</v>
      </c>
      <c r="P27" s="30" t="s">
        <v>30</v>
      </c>
      <c r="Q27" s="30" t="s">
        <v>30</v>
      </c>
      <c r="R27" s="30" t="s">
        <v>21</v>
      </c>
      <c r="S27" s="30" t="s">
        <v>21</v>
      </c>
      <c r="T27" s="30" t="s">
        <v>30</v>
      </c>
      <c r="U27" s="30" t="s">
        <v>21</v>
      </c>
      <c r="V27" s="30" t="s">
        <v>30</v>
      </c>
      <c r="W27" s="30" t="s">
        <v>30</v>
      </c>
      <c r="X27" s="33" t="str">
        <f t="shared" si="6"/>
        <v>#REF!</v>
      </c>
      <c r="Y27" s="45" t="s">
        <v>119</v>
      </c>
      <c r="Z27" s="46">
        <f>COUNTIF(G3:G98, "Ar")</f>
        <v>18</v>
      </c>
      <c r="AA27" s="44"/>
      <c r="AB27" s="45" t="s">
        <v>120</v>
      </c>
      <c r="AC27" s="46">
        <f>COUNTIF(E3:E98,"AT")+COUNTIF(F3:F98,"AT")</f>
        <v>16</v>
      </c>
    </row>
    <row r="28" ht="15.75" hidden="1" customHeight="1">
      <c r="A28" s="25">
        <f t="shared" si="1"/>
        <v>4</v>
      </c>
      <c r="B28" s="25">
        <f t="shared" si="2"/>
        <v>9</v>
      </c>
      <c r="C28" s="26" t="s">
        <v>64</v>
      </c>
      <c r="D28" s="27" t="s">
        <v>121</v>
      </c>
      <c r="E28" s="28" t="s">
        <v>41</v>
      </c>
      <c r="F28" s="28" t="s">
        <v>28</v>
      </c>
      <c r="G28" s="29" t="s">
        <v>49</v>
      </c>
      <c r="H28" s="30" t="s">
        <v>21</v>
      </c>
      <c r="I28" s="31" t="s">
        <v>115</v>
      </c>
      <c r="J28" s="32" t="s">
        <v>63</v>
      </c>
      <c r="K28" s="30"/>
      <c r="L28" s="30" t="s">
        <v>24</v>
      </c>
      <c r="M28" s="30" t="s">
        <v>21</v>
      </c>
      <c r="N28" s="30"/>
      <c r="O28" s="30" t="s">
        <v>21</v>
      </c>
      <c r="P28" s="30" t="s">
        <v>21</v>
      </c>
      <c r="Q28" s="30"/>
      <c r="R28" s="30" t="s">
        <v>24</v>
      </c>
      <c r="S28" s="30" t="s">
        <v>21</v>
      </c>
      <c r="T28" s="30"/>
      <c r="U28" s="30" t="s">
        <v>21</v>
      </c>
      <c r="V28" s="30" t="s">
        <v>24</v>
      </c>
      <c r="W28" s="30"/>
      <c r="X28" s="33" t="str">
        <f t="shared" si="6"/>
        <v>#REF!</v>
      </c>
      <c r="Y28" s="49" t="s">
        <v>122</v>
      </c>
      <c r="Z28" s="46">
        <f>COUNTIF(G3:G98, "Ch")</f>
        <v>13</v>
      </c>
      <c r="AA28" s="44"/>
      <c r="AB28" s="49" t="s">
        <v>123</v>
      </c>
      <c r="AC28" s="46">
        <f>COUNTIF(E3:E98,"FL")+COUNTIF(F3:F98,"FL")</f>
        <v>33</v>
      </c>
    </row>
    <row r="29" ht="15.75" hidden="1" customHeight="1">
      <c r="A29" s="25">
        <f t="shared" si="1"/>
        <v>4</v>
      </c>
      <c r="B29" s="25">
        <f t="shared" si="2"/>
        <v>10</v>
      </c>
      <c r="C29" s="26" t="s">
        <v>84</v>
      </c>
      <c r="D29" s="27" t="s">
        <v>128</v>
      </c>
      <c r="E29" s="28" t="s">
        <v>41</v>
      </c>
      <c r="F29" s="28" t="s">
        <v>19</v>
      </c>
      <c r="G29" s="29" t="s">
        <v>71</v>
      </c>
      <c r="H29" s="30" t="s">
        <v>21</v>
      </c>
      <c r="I29" s="31" t="s">
        <v>115</v>
      </c>
      <c r="J29" s="32" t="s">
        <v>68</v>
      </c>
      <c r="K29" s="30"/>
      <c r="L29" s="30" t="s">
        <v>21</v>
      </c>
      <c r="M29" s="30" t="s">
        <v>21</v>
      </c>
      <c r="N29" s="30"/>
      <c r="O29" s="30" t="s">
        <v>21</v>
      </c>
      <c r="P29" s="30" t="s">
        <v>21</v>
      </c>
      <c r="Q29" s="30"/>
      <c r="R29" s="50" t="s">
        <v>21</v>
      </c>
      <c r="S29" s="30" t="s">
        <v>21</v>
      </c>
      <c r="T29" s="50"/>
      <c r="U29" s="30" t="s">
        <v>21</v>
      </c>
      <c r="V29" s="30" t="s">
        <v>24</v>
      </c>
      <c r="W29" s="50"/>
      <c r="X29" s="33" t="str">
        <f t="shared" si="6"/>
        <v>#REF!</v>
      </c>
      <c r="Y29" s="49" t="s">
        <v>126</v>
      </c>
      <c r="Z29" s="46">
        <f>COUNTIF(G3:G98, "Co")</f>
        <v>2</v>
      </c>
      <c r="AA29" s="44"/>
      <c r="AB29" s="49" t="s">
        <v>127</v>
      </c>
      <c r="AC29" s="46">
        <f>COUNTIF(E3:E98,"GL")+COUNTIF(F3:F98,"GL")</f>
        <v>8</v>
      </c>
    </row>
    <row r="30" ht="15.75" hidden="1" customHeight="1">
      <c r="A30" s="25">
        <f t="shared" si="1"/>
        <v>4</v>
      </c>
      <c r="B30" s="25">
        <f t="shared" si="2"/>
        <v>10</v>
      </c>
      <c r="C30" s="26" t="s">
        <v>84</v>
      </c>
      <c r="D30" s="27" t="s">
        <v>124</v>
      </c>
      <c r="E30" s="28" t="s">
        <v>61</v>
      </c>
      <c r="F30" s="28" t="s">
        <v>70</v>
      </c>
      <c r="G30" s="29" t="s">
        <v>125</v>
      </c>
      <c r="H30" s="30" t="s">
        <v>21</v>
      </c>
      <c r="I30" s="31" t="s">
        <v>115</v>
      </c>
      <c r="J30" s="32" t="s">
        <v>68</v>
      </c>
      <c r="K30" s="30"/>
      <c r="L30" s="30" t="s">
        <v>21</v>
      </c>
      <c r="M30" s="30" t="s">
        <v>21</v>
      </c>
      <c r="N30" s="30"/>
      <c r="O30" s="30" t="s">
        <v>33</v>
      </c>
      <c r="P30" s="30" t="s">
        <v>21</v>
      </c>
      <c r="Q30" s="30"/>
      <c r="R30" s="30" t="s">
        <v>21</v>
      </c>
      <c r="S30" s="30" t="s">
        <v>21</v>
      </c>
      <c r="T30" s="30"/>
      <c r="U30" s="30" t="s">
        <v>21</v>
      </c>
      <c r="V30" s="42" t="s">
        <v>21</v>
      </c>
      <c r="W30" s="42"/>
      <c r="X30" s="33" t="str">
        <f t="shared" si="6"/>
        <v>#REF!</v>
      </c>
      <c r="Y30" s="49" t="s">
        <v>129</v>
      </c>
      <c r="Z30" s="46">
        <f>COUNTIF(G3:G98, "CR")</f>
        <v>0</v>
      </c>
      <c r="AA30" s="44"/>
      <c r="AB30" s="49" t="s">
        <v>130</v>
      </c>
      <c r="AC30" s="46">
        <f>COUNTIF(E3:E98,"MC")+COUNTIF(F3:F98,"MC")</f>
        <v>22</v>
      </c>
    </row>
    <row r="31" ht="15.75" hidden="1" customHeight="1">
      <c r="A31" s="25">
        <f t="shared" si="1"/>
        <v>4</v>
      </c>
      <c r="B31" s="25">
        <f t="shared" si="2"/>
        <v>10</v>
      </c>
      <c r="C31" s="26" t="s">
        <v>84</v>
      </c>
      <c r="D31" s="27" t="s">
        <v>131</v>
      </c>
      <c r="E31" s="28" t="s">
        <v>19</v>
      </c>
      <c r="F31" s="28"/>
      <c r="G31" s="29" t="s">
        <v>132</v>
      </c>
      <c r="H31" s="30" t="s">
        <v>21</v>
      </c>
      <c r="I31" s="31" t="s">
        <v>115</v>
      </c>
      <c r="J31" s="32" t="s">
        <v>68</v>
      </c>
      <c r="K31" s="30"/>
      <c r="L31" s="30" t="s">
        <v>33</v>
      </c>
      <c r="M31" s="30" t="s">
        <v>33</v>
      </c>
      <c r="N31" s="30"/>
      <c r="O31" s="30" t="s">
        <v>33</v>
      </c>
      <c r="P31" s="30" t="s">
        <v>33</v>
      </c>
      <c r="Q31" s="30"/>
      <c r="R31" s="30" t="s">
        <v>24</v>
      </c>
      <c r="S31" s="30" t="s">
        <v>24</v>
      </c>
      <c r="T31" s="30"/>
      <c r="U31" s="30" t="s">
        <v>24</v>
      </c>
      <c r="V31" s="30" t="s">
        <v>24</v>
      </c>
      <c r="W31" s="30"/>
      <c r="X31" s="33" t="str">
        <f t="shared" si="6"/>
        <v>#REF!</v>
      </c>
      <c r="Y31" s="49" t="s">
        <v>133</v>
      </c>
      <c r="Z31" s="46">
        <f>COUNTIF(G3:G98, "ES")</f>
        <v>1</v>
      </c>
      <c r="AA31" s="44"/>
      <c r="AB31" s="49" t="s">
        <v>134</v>
      </c>
      <c r="AC31" s="46">
        <f>COUNTIF(E3:E98,"MG")+COUNTIF(F3:F98,"MG")</f>
        <v>15</v>
      </c>
    </row>
    <row r="32" ht="15.75" hidden="1" customHeight="1">
      <c r="A32" s="25">
        <f t="shared" si="1"/>
        <v>4</v>
      </c>
      <c r="B32" s="25">
        <f t="shared" si="2"/>
        <v>11</v>
      </c>
      <c r="C32" s="26" t="s">
        <v>79</v>
      </c>
      <c r="D32" s="27" t="s">
        <v>135</v>
      </c>
      <c r="E32" s="28" t="s">
        <v>19</v>
      </c>
      <c r="F32" s="28"/>
      <c r="G32" s="29"/>
      <c r="H32" s="30" t="s">
        <v>21</v>
      </c>
      <c r="I32" s="31" t="s">
        <v>115</v>
      </c>
      <c r="J32" s="32" t="s">
        <v>68</v>
      </c>
      <c r="K32" s="30"/>
      <c r="L32" s="30" t="s">
        <v>33</v>
      </c>
      <c r="M32" s="30" t="s">
        <v>33</v>
      </c>
      <c r="N32" s="30"/>
      <c r="O32" s="30" t="s">
        <v>24</v>
      </c>
      <c r="P32" s="30" t="s">
        <v>24</v>
      </c>
      <c r="Q32" s="30"/>
      <c r="R32" s="30" t="s">
        <v>21</v>
      </c>
      <c r="S32" s="30" t="s">
        <v>24</v>
      </c>
      <c r="T32" s="30"/>
      <c r="U32" s="30" t="s">
        <v>24</v>
      </c>
      <c r="V32" s="30" t="s">
        <v>33</v>
      </c>
      <c r="W32" s="30"/>
      <c r="X32" s="33" t="str">
        <f t="shared" si="6"/>
        <v>#REF!</v>
      </c>
      <c r="Y32" s="49" t="s">
        <v>136</v>
      </c>
      <c r="Z32" s="46">
        <f>COUNTIF(G3:G98, "Ja")</f>
        <v>1</v>
      </c>
      <c r="AA32" s="44"/>
      <c r="AB32" s="49" t="s">
        <v>137</v>
      </c>
      <c r="AC32" s="46">
        <f>COUNTIF(E3:E98,"OD")+COUNTIF(F3:F98,"OD")</f>
        <v>6</v>
      </c>
    </row>
    <row r="33" ht="15.75" hidden="1" customHeight="1">
      <c r="A33" s="25">
        <f t="shared" si="1"/>
        <v>4</v>
      </c>
      <c r="B33" s="25">
        <f t="shared" si="2"/>
        <v>9</v>
      </c>
      <c r="C33" s="26" t="s">
        <v>64</v>
      </c>
      <c r="D33" s="27" t="s">
        <v>138</v>
      </c>
      <c r="E33" s="28" t="s">
        <v>61</v>
      </c>
      <c r="F33" s="28" t="s">
        <v>70</v>
      </c>
      <c r="G33" s="29" t="s">
        <v>62</v>
      </c>
      <c r="H33" s="30" t="s">
        <v>21</v>
      </c>
      <c r="I33" s="31" t="s">
        <v>115</v>
      </c>
      <c r="J33" s="32" t="s">
        <v>85</v>
      </c>
      <c r="K33" s="30"/>
      <c r="L33" s="30" t="s">
        <v>24</v>
      </c>
      <c r="M33" s="30" t="s">
        <v>21</v>
      </c>
      <c r="N33" s="30"/>
      <c r="O33" s="30" t="s">
        <v>21</v>
      </c>
      <c r="P33" s="30" t="s">
        <v>21</v>
      </c>
      <c r="Q33" s="30"/>
      <c r="R33" s="30" t="s">
        <v>21</v>
      </c>
      <c r="S33" s="30" t="s">
        <v>21</v>
      </c>
      <c r="T33" s="30"/>
      <c r="U33" s="30" t="s">
        <v>21</v>
      </c>
      <c r="V33" s="30" t="s">
        <v>21</v>
      </c>
      <c r="W33" s="30"/>
      <c r="X33" s="33" t="str">
        <f t="shared" si="6"/>
        <v>#REF!</v>
      </c>
      <c r="Y33" s="49" t="s">
        <v>139</v>
      </c>
      <c r="Z33" s="46">
        <f>COUNTIF(G3:G98, "Me")</f>
        <v>8</v>
      </c>
      <c r="AA33" s="44"/>
      <c r="AB33" s="49" t="s">
        <v>140</v>
      </c>
      <c r="AC33" s="46">
        <f>COUNTIF(E3:E98,"RO")+COUNTIF(F3:F98,"RO")</f>
        <v>9</v>
      </c>
    </row>
    <row r="34" ht="15.75" hidden="1" customHeight="1">
      <c r="A34" s="25">
        <f t="shared" si="1"/>
        <v>4</v>
      </c>
      <c r="B34" s="25">
        <f t="shared" si="2"/>
        <v>10</v>
      </c>
      <c r="C34" s="26" t="s">
        <v>84</v>
      </c>
      <c r="D34" s="27" t="s">
        <v>141</v>
      </c>
      <c r="E34" s="28" t="s">
        <v>28</v>
      </c>
      <c r="F34" s="28" t="s">
        <v>41</v>
      </c>
      <c r="G34" s="29"/>
      <c r="H34" s="30" t="s">
        <v>37</v>
      </c>
      <c r="I34" s="31" t="s">
        <v>115</v>
      </c>
      <c r="J34" s="32" t="s">
        <v>85</v>
      </c>
      <c r="K34" s="30"/>
      <c r="L34" s="30" t="s">
        <v>21</v>
      </c>
      <c r="M34" s="30" t="s">
        <v>21</v>
      </c>
      <c r="N34" s="30" t="s">
        <v>37</v>
      </c>
      <c r="O34" s="30" t="s">
        <v>37</v>
      </c>
      <c r="P34" s="30" t="s">
        <v>37</v>
      </c>
      <c r="Q34" s="52" t="s">
        <v>37</v>
      </c>
      <c r="R34" s="52" t="s">
        <v>37</v>
      </c>
      <c r="S34" s="52" t="s">
        <v>37</v>
      </c>
      <c r="T34" s="52" t="s">
        <v>37</v>
      </c>
      <c r="U34" s="52" t="s">
        <v>37</v>
      </c>
      <c r="V34" s="52" t="s">
        <v>37</v>
      </c>
      <c r="W34" s="52" t="s">
        <v>37</v>
      </c>
      <c r="X34" s="33" t="str">
        <f t="shared" si="6"/>
        <v>#REF!</v>
      </c>
      <c r="Y34" s="49" t="s">
        <v>142</v>
      </c>
      <c r="Z34" s="46">
        <f>COUNTIF(G3:G98, "Pa")</f>
        <v>1</v>
      </c>
      <c r="AA34" s="44"/>
      <c r="AB34" s="49" t="s">
        <v>143</v>
      </c>
      <c r="AC34" s="46">
        <f>COUNTIF(E3:E98,"TE")+COUNTIF(F3:F98,"TE")</f>
        <v>9</v>
      </c>
    </row>
    <row r="35" ht="15.75" hidden="1" customHeight="1">
      <c r="A35" s="25">
        <f t="shared" si="1"/>
        <v>4</v>
      </c>
      <c r="B35" s="25">
        <f t="shared" si="2"/>
        <v>10</v>
      </c>
      <c r="C35" s="26" t="s">
        <v>84</v>
      </c>
      <c r="D35" s="27" t="s">
        <v>144</v>
      </c>
      <c r="E35" s="28" t="s">
        <v>19</v>
      </c>
      <c r="F35" s="28" t="s">
        <v>70</v>
      </c>
      <c r="G35" s="29" t="s">
        <v>145</v>
      </c>
      <c r="H35" s="42" t="s">
        <v>30</v>
      </c>
      <c r="I35" s="31" t="s">
        <v>115</v>
      </c>
      <c r="J35" s="32" t="s">
        <v>85</v>
      </c>
      <c r="K35" s="42"/>
      <c r="L35" s="42" t="s">
        <v>33</v>
      </c>
      <c r="M35" s="86" t="s">
        <v>33</v>
      </c>
      <c r="N35" s="42"/>
      <c r="O35" s="42" t="s">
        <v>33</v>
      </c>
      <c r="P35" s="42" t="s">
        <v>24</v>
      </c>
      <c r="Q35" s="42" t="s">
        <v>30</v>
      </c>
      <c r="R35" s="42" t="s">
        <v>30</v>
      </c>
      <c r="S35" s="42" t="s">
        <v>30</v>
      </c>
      <c r="T35" s="42" t="s">
        <v>30</v>
      </c>
      <c r="U35" s="42" t="s">
        <v>30</v>
      </c>
      <c r="V35" s="42" t="s">
        <v>30</v>
      </c>
      <c r="W35" s="42" t="s">
        <v>30</v>
      </c>
      <c r="X35" s="33" t="str">
        <f t="shared" si="6"/>
        <v>#REF!</v>
      </c>
      <c r="Y35" s="49" t="s">
        <v>146</v>
      </c>
      <c r="Z35" s="46">
        <f>COUNTIF(G3:G98, "Py")</f>
        <v>0</v>
      </c>
      <c r="AA35" s="44"/>
      <c r="AB35" s="49" t="s">
        <v>147</v>
      </c>
      <c r="AC35" s="46">
        <f>COUNTIF(E3:E98,"TS")+COUNTIF(F3:F98,"TS")</f>
        <v>2</v>
      </c>
    </row>
    <row r="36" ht="15.75" hidden="1" customHeight="1">
      <c r="A36" s="25">
        <f t="shared" si="1"/>
        <v>4</v>
      </c>
      <c r="B36" s="25">
        <v>11.0</v>
      </c>
      <c r="C36" s="26" t="s">
        <v>79</v>
      </c>
      <c r="D36" s="27" t="s">
        <v>148</v>
      </c>
      <c r="E36" s="28" t="s">
        <v>61</v>
      </c>
      <c r="F36" s="28"/>
      <c r="G36" s="29" t="s">
        <v>149</v>
      </c>
      <c r="H36" s="30" t="s">
        <v>21</v>
      </c>
      <c r="I36" s="31" t="s">
        <v>115</v>
      </c>
      <c r="J36" s="32" t="s">
        <v>85</v>
      </c>
      <c r="K36" s="30"/>
      <c r="L36" s="30" t="s">
        <v>21</v>
      </c>
      <c r="M36" s="30" t="s">
        <v>21</v>
      </c>
      <c r="N36" s="30"/>
      <c r="O36" s="30" t="s">
        <v>21</v>
      </c>
      <c r="P36" s="30" t="s">
        <v>21</v>
      </c>
      <c r="Q36" s="30"/>
      <c r="R36" s="30" t="s">
        <v>21</v>
      </c>
      <c r="S36" s="30" t="s">
        <v>21</v>
      </c>
      <c r="T36" s="30"/>
      <c r="U36" s="30" t="s">
        <v>24</v>
      </c>
      <c r="V36" s="30" t="s">
        <v>24</v>
      </c>
      <c r="W36" s="30"/>
      <c r="X36" s="33" t="str">
        <f t="shared" si="6"/>
        <v>#REF!</v>
      </c>
      <c r="Y36" s="49" t="s">
        <v>150</v>
      </c>
      <c r="Z36" s="46">
        <f>COUNTIF(G3:G98, "Pe")</f>
        <v>3</v>
      </c>
      <c r="AA36" s="44"/>
      <c r="AB36" s="49"/>
      <c r="AC36" s="46"/>
    </row>
    <row r="37" ht="15.75" hidden="1" customHeight="1">
      <c r="A37" s="25">
        <f t="shared" si="1"/>
        <v>9</v>
      </c>
      <c r="B37" s="25">
        <f t="shared" ref="B37:B98" si="7">IF(C37="Cap.",1,IF(C37="Tte.",2,IF(C37="Alf.",3,IF(C37="SgtM.",4,IF(C37="Sgt1.",5,IF(C37="Sgt.",6,IF(C37="Cbo1.",7,IF(C37="Cbo.",8,IF(C37="Dis.",9,IF(C37="Inf.",10,IF(C37="Rct.",11,15)))))))))))</f>
        <v>6</v>
      </c>
      <c r="C37" s="26" t="s">
        <v>113</v>
      </c>
      <c r="D37" s="27" t="s">
        <v>157</v>
      </c>
      <c r="E37" s="28" t="s">
        <v>48</v>
      </c>
      <c r="F37" s="28" t="s">
        <v>41</v>
      </c>
      <c r="G37" s="29" t="s">
        <v>20</v>
      </c>
      <c r="H37" s="30" t="s">
        <v>21</v>
      </c>
      <c r="I37" s="31" t="s">
        <v>158</v>
      </c>
      <c r="J37" s="32" t="s">
        <v>51</v>
      </c>
      <c r="K37" s="30"/>
      <c r="L37" s="30" t="s">
        <v>21</v>
      </c>
      <c r="M37" s="30" t="s">
        <v>24</v>
      </c>
      <c r="N37" s="30"/>
      <c r="O37" s="30" t="s">
        <v>21</v>
      </c>
      <c r="P37" s="30" t="s">
        <v>21</v>
      </c>
      <c r="Q37" s="30"/>
      <c r="R37" s="30" t="s">
        <v>24</v>
      </c>
      <c r="S37" s="30" t="s">
        <v>24</v>
      </c>
      <c r="T37" s="30"/>
      <c r="U37" s="30" t="s">
        <v>21</v>
      </c>
      <c r="V37" s="30" t="s">
        <v>21</v>
      </c>
      <c r="W37" s="30"/>
      <c r="X37" s="33" t="str">
        <f t="shared" si="6"/>
        <v>#REF!</v>
      </c>
      <c r="Y37" s="49" t="s">
        <v>152</v>
      </c>
      <c r="Z37" s="46">
        <f>COUNTIF(G3:G98, "US")</f>
        <v>1</v>
      </c>
      <c r="AA37" s="44"/>
      <c r="AB37" s="49"/>
      <c r="AC37" s="46"/>
    </row>
    <row r="38" ht="15.75" hidden="1" customHeight="1">
      <c r="A38" s="25">
        <f t="shared" si="1"/>
        <v>9</v>
      </c>
      <c r="B38" s="25">
        <f t="shared" si="7"/>
        <v>7</v>
      </c>
      <c r="C38" s="26" t="s">
        <v>46</v>
      </c>
      <c r="D38" s="27" t="s">
        <v>160</v>
      </c>
      <c r="E38" s="28" t="s">
        <v>61</v>
      </c>
      <c r="F38" s="28" t="s">
        <v>48</v>
      </c>
      <c r="G38" s="29" t="s">
        <v>149</v>
      </c>
      <c r="H38" s="30" t="s">
        <v>30</v>
      </c>
      <c r="I38" s="31" t="s">
        <v>158</v>
      </c>
      <c r="J38" s="32" t="s">
        <v>57</v>
      </c>
      <c r="K38" s="30" t="s">
        <v>30</v>
      </c>
      <c r="L38" s="30" t="s">
        <v>30</v>
      </c>
      <c r="M38" s="30" t="s">
        <v>30</v>
      </c>
      <c r="N38" s="30" t="s">
        <v>30</v>
      </c>
      <c r="O38" s="30" t="s">
        <v>30</v>
      </c>
      <c r="P38" s="30" t="s">
        <v>30</v>
      </c>
      <c r="Q38" s="30" t="s">
        <v>30</v>
      </c>
      <c r="R38" s="30" t="s">
        <v>30</v>
      </c>
      <c r="S38" s="30" t="s">
        <v>30</v>
      </c>
      <c r="T38" s="30" t="s">
        <v>30</v>
      </c>
      <c r="U38" s="30" t="s">
        <v>30</v>
      </c>
      <c r="V38" s="30" t="s">
        <v>30</v>
      </c>
      <c r="W38" s="30" t="s">
        <v>30</v>
      </c>
      <c r="X38" s="33" t="str">
        <f t="shared" si="6"/>
        <v>#REF!</v>
      </c>
      <c r="Y38" s="49" t="s">
        <v>154</v>
      </c>
      <c r="Z38" s="46">
        <f>COUNTIF(G3:G98, "Ve")</f>
        <v>18</v>
      </c>
      <c r="AA38" s="44"/>
      <c r="AB38" s="49"/>
      <c r="AC38" s="46"/>
    </row>
    <row r="39" ht="15.75" hidden="1" customHeight="1">
      <c r="A39" s="25">
        <f t="shared" si="1"/>
        <v>9</v>
      </c>
      <c r="B39" s="25">
        <f t="shared" si="7"/>
        <v>7</v>
      </c>
      <c r="C39" s="26" t="s">
        <v>46</v>
      </c>
      <c r="D39" s="27" t="s">
        <v>162</v>
      </c>
      <c r="E39" s="28" t="s">
        <v>41</v>
      </c>
      <c r="F39" s="28" t="s">
        <v>28</v>
      </c>
      <c r="G39" s="29" t="s">
        <v>163</v>
      </c>
      <c r="H39" s="30" t="s">
        <v>21</v>
      </c>
      <c r="I39" s="31" t="s">
        <v>158</v>
      </c>
      <c r="J39" s="32" t="s">
        <v>63</v>
      </c>
      <c r="K39" s="30"/>
      <c r="L39" s="30" t="s">
        <v>21</v>
      </c>
      <c r="M39" s="30" t="s">
        <v>21</v>
      </c>
      <c r="N39" s="30"/>
      <c r="O39" s="30" t="s">
        <v>24</v>
      </c>
      <c r="P39" s="30" t="s">
        <v>21</v>
      </c>
      <c r="Q39" s="30"/>
      <c r="R39" s="30" t="s">
        <v>21</v>
      </c>
      <c r="S39" s="30" t="s">
        <v>24</v>
      </c>
      <c r="T39" s="30"/>
      <c r="U39" s="30" t="s">
        <v>37</v>
      </c>
      <c r="V39" s="30" t="s">
        <v>37</v>
      </c>
      <c r="W39" s="30" t="s">
        <v>37</v>
      </c>
      <c r="X39" s="33" t="str">
        <f t="shared" si="6"/>
        <v>#REF!</v>
      </c>
      <c r="Y39" s="49" t="s">
        <v>156</v>
      </c>
      <c r="Z39" s="46">
        <f>COUNTIF(G3:G98, "PR")</f>
        <v>0</v>
      </c>
      <c r="AA39" s="44"/>
      <c r="AB39" s="44"/>
      <c r="AC39" s="44"/>
    </row>
    <row r="40" ht="15.75" hidden="1" customHeight="1">
      <c r="A40" s="25">
        <f t="shared" si="1"/>
        <v>9</v>
      </c>
      <c r="B40" s="25">
        <f t="shared" si="7"/>
        <v>10</v>
      </c>
      <c r="C40" s="26" t="s">
        <v>84</v>
      </c>
      <c r="D40" s="27" t="s">
        <v>164</v>
      </c>
      <c r="E40" s="28" t="s">
        <v>41</v>
      </c>
      <c r="F40" s="28" t="s">
        <v>28</v>
      </c>
      <c r="G40" s="29" t="s">
        <v>20</v>
      </c>
      <c r="H40" s="30" t="s">
        <v>21</v>
      </c>
      <c r="I40" s="31" t="s">
        <v>158</v>
      </c>
      <c r="J40" s="32" t="s">
        <v>68</v>
      </c>
      <c r="K40" s="30"/>
      <c r="L40" s="30" t="s">
        <v>21</v>
      </c>
      <c r="M40" s="30" t="s">
        <v>21</v>
      </c>
      <c r="N40" s="30"/>
      <c r="O40" s="30" t="s">
        <v>21</v>
      </c>
      <c r="P40" s="30" t="s">
        <v>21</v>
      </c>
      <c r="Q40" s="30"/>
      <c r="R40" s="30" t="s">
        <v>21</v>
      </c>
      <c r="S40" s="30" t="s">
        <v>21</v>
      </c>
      <c r="T40" s="30"/>
      <c r="U40" s="30" t="s">
        <v>21</v>
      </c>
      <c r="V40" s="30" t="s">
        <v>21</v>
      </c>
      <c r="W40" s="30"/>
      <c r="X40" s="33" t="str">
        <f t="shared" si="6"/>
        <v>#REF!</v>
      </c>
      <c r="Y40" s="49" t="s">
        <v>159</v>
      </c>
      <c r="Z40" s="46">
        <f>COUNTIF(G3:G98, "Bo")</f>
        <v>1</v>
      </c>
      <c r="AA40" s="44"/>
      <c r="AB40" s="44"/>
      <c r="AC40" s="44"/>
    </row>
    <row r="41" ht="15.75" hidden="1" customHeight="1">
      <c r="A41" s="25">
        <f t="shared" si="1"/>
        <v>9</v>
      </c>
      <c r="B41" s="25">
        <f t="shared" si="7"/>
        <v>9</v>
      </c>
      <c r="C41" s="26" t="s">
        <v>64</v>
      </c>
      <c r="D41" s="27" t="s">
        <v>165</v>
      </c>
      <c r="E41" s="28" t="s">
        <v>61</v>
      </c>
      <c r="F41" s="28" t="s">
        <v>41</v>
      </c>
      <c r="G41" s="29" t="s">
        <v>71</v>
      </c>
      <c r="H41" s="30" t="s">
        <v>21</v>
      </c>
      <c r="I41" s="31" t="s">
        <v>158</v>
      </c>
      <c r="J41" s="32" t="s">
        <v>85</v>
      </c>
      <c r="K41" s="30"/>
      <c r="L41" s="30" t="s">
        <v>21</v>
      </c>
      <c r="M41" s="30" t="s">
        <v>21</v>
      </c>
      <c r="N41" s="30"/>
      <c r="O41" s="30" t="s">
        <v>21</v>
      </c>
      <c r="P41" s="30" t="s">
        <v>21</v>
      </c>
      <c r="Q41" s="30"/>
      <c r="R41" s="30" t="s">
        <v>21</v>
      </c>
      <c r="S41" s="30" t="s">
        <v>24</v>
      </c>
      <c r="T41" s="30"/>
      <c r="U41" s="30" t="s">
        <v>21</v>
      </c>
      <c r="V41" s="30" t="s">
        <v>21</v>
      </c>
      <c r="W41" s="30"/>
      <c r="X41" s="33" t="str">
        <f t="shared" si="6"/>
        <v>#REF!</v>
      </c>
      <c r="Y41" s="49" t="s">
        <v>161</v>
      </c>
      <c r="Z41" s="46">
        <f>COUNTIF(G3:G99, "RD")</f>
        <v>1</v>
      </c>
    </row>
    <row r="42" ht="15.75" hidden="1" customHeight="1">
      <c r="A42" s="25">
        <f t="shared" si="1"/>
        <v>9</v>
      </c>
      <c r="B42" s="25">
        <f t="shared" si="7"/>
        <v>11</v>
      </c>
      <c r="C42" s="26" t="s">
        <v>79</v>
      </c>
      <c r="D42" s="27" t="s">
        <v>166</v>
      </c>
      <c r="E42" s="28" t="s">
        <v>19</v>
      </c>
      <c r="F42" s="28" t="s">
        <v>48</v>
      </c>
      <c r="G42" s="29" t="s">
        <v>71</v>
      </c>
      <c r="H42" s="42" t="s">
        <v>21</v>
      </c>
      <c r="I42" s="31" t="s">
        <v>158</v>
      </c>
      <c r="J42" s="32" t="s">
        <v>85</v>
      </c>
      <c r="K42" s="42"/>
      <c r="L42" s="42" t="s">
        <v>21</v>
      </c>
      <c r="M42" s="42" t="s">
        <v>21</v>
      </c>
      <c r="N42" s="42"/>
      <c r="O42" s="42" t="s">
        <v>21</v>
      </c>
      <c r="P42" s="42" t="s">
        <v>21</v>
      </c>
      <c r="Q42" s="42"/>
      <c r="R42" s="42" t="s">
        <v>24</v>
      </c>
      <c r="S42" s="42" t="s">
        <v>21</v>
      </c>
      <c r="T42" s="42"/>
      <c r="U42" s="42" t="s">
        <v>21</v>
      </c>
      <c r="V42" s="42" t="s">
        <v>21</v>
      </c>
      <c r="W42" s="42"/>
      <c r="X42" s="33" t="str">
        <f t="shared" si="6"/>
        <v>#REF!</v>
      </c>
    </row>
    <row r="43" ht="15.75" hidden="1" customHeight="1">
      <c r="A43" s="25">
        <f t="shared" si="1"/>
        <v>9</v>
      </c>
      <c r="B43" s="25">
        <f t="shared" si="7"/>
        <v>6</v>
      </c>
      <c r="C43" s="26" t="s">
        <v>113</v>
      </c>
      <c r="D43" s="27" t="s">
        <v>169</v>
      </c>
      <c r="E43" s="28" t="s">
        <v>41</v>
      </c>
      <c r="F43" s="28" t="s">
        <v>19</v>
      </c>
      <c r="G43" s="29" t="s">
        <v>20</v>
      </c>
      <c r="H43" s="30" t="s">
        <v>30</v>
      </c>
      <c r="I43" s="31" t="s">
        <v>158</v>
      </c>
      <c r="J43" s="32"/>
      <c r="K43" s="30" t="s">
        <v>30</v>
      </c>
      <c r="L43" s="30" t="s">
        <v>30</v>
      </c>
      <c r="M43" s="30" t="s">
        <v>30</v>
      </c>
      <c r="N43" s="30" t="s">
        <v>30</v>
      </c>
      <c r="O43" s="30" t="s">
        <v>30</v>
      </c>
      <c r="P43" s="30" t="s">
        <v>30</v>
      </c>
      <c r="Q43" s="30" t="s">
        <v>30</v>
      </c>
      <c r="R43" s="30" t="s">
        <v>30</v>
      </c>
      <c r="S43" s="30" t="s">
        <v>30</v>
      </c>
      <c r="T43" s="30" t="s">
        <v>30</v>
      </c>
      <c r="U43" s="30" t="s">
        <v>30</v>
      </c>
      <c r="V43" s="30" t="s">
        <v>30</v>
      </c>
      <c r="W43" s="30" t="s">
        <v>30</v>
      </c>
      <c r="X43" s="33" t="str">
        <f t="shared" si="6"/>
        <v>#REF!</v>
      </c>
      <c r="Y43" s="55" t="s">
        <v>167</v>
      </c>
      <c r="Z43" s="5"/>
      <c r="AA43" s="47"/>
      <c r="AB43" s="55" t="s">
        <v>168</v>
      </c>
      <c r="AC43" s="5"/>
    </row>
    <row r="44" ht="15.75" hidden="1" customHeight="1">
      <c r="A44" s="25">
        <f t="shared" si="1"/>
        <v>9</v>
      </c>
      <c r="B44" s="25">
        <f t="shared" si="7"/>
        <v>7</v>
      </c>
      <c r="C44" s="26" t="s">
        <v>46</v>
      </c>
      <c r="D44" s="27" t="s">
        <v>173</v>
      </c>
      <c r="E44" s="28" t="s">
        <v>76</v>
      </c>
      <c r="F44" s="28" t="s">
        <v>56</v>
      </c>
      <c r="G44" s="29" t="s">
        <v>20</v>
      </c>
      <c r="H44" s="30" t="s">
        <v>30</v>
      </c>
      <c r="I44" s="31" t="s">
        <v>158</v>
      </c>
      <c r="J44" s="32"/>
      <c r="K44" s="30" t="s">
        <v>30</v>
      </c>
      <c r="L44" s="30" t="s">
        <v>30</v>
      </c>
      <c r="M44" s="30" t="s">
        <v>30</v>
      </c>
      <c r="N44" s="30" t="s">
        <v>30</v>
      </c>
      <c r="O44" s="30" t="s">
        <v>30</v>
      </c>
      <c r="P44" s="30" t="s">
        <v>30</v>
      </c>
      <c r="Q44" s="30" t="s">
        <v>30</v>
      </c>
      <c r="R44" s="30" t="s">
        <v>30</v>
      </c>
      <c r="S44" s="30" t="s">
        <v>30</v>
      </c>
      <c r="T44" s="30" t="s">
        <v>30</v>
      </c>
      <c r="U44" s="30" t="s">
        <v>30</v>
      </c>
      <c r="V44" s="30" t="s">
        <v>30</v>
      </c>
      <c r="W44" s="30" t="s">
        <v>30</v>
      </c>
      <c r="X44" s="33" t="str">
        <f t="shared" si="6"/>
        <v>#REF!</v>
      </c>
      <c r="Y44" s="56" t="s">
        <v>9</v>
      </c>
      <c r="Z44" s="57"/>
      <c r="AA44" s="58" t="s">
        <v>170</v>
      </c>
      <c r="AB44" s="58" t="s">
        <v>171</v>
      </c>
      <c r="AC44" s="58" t="s">
        <v>172</v>
      </c>
    </row>
    <row r="45" ht="15.75" hidden="1" customHeight="1">
      <c r="A45" s="25">
        <f t="shared" si="1"/>
        <v>9</v>
      </c>
      <c r="B45" s="25">
        <f t="shared" si="7"/>
        <v>7</v>
      </c>
      <c r="C45" s="26" t="s">
        <v>46</v>
      </c>
      <c r="D45" s="27" t="s">
        <v>174</v>
      </c>
      <c r="E45" s="28" t="s">
        <v>29</v>
      </c>
      <c r="F45" s="28" t="s">
        <v>28</v>
      </c>
      <c r="G45" s="29" t="s">
        <v>71</v>
      </c>
      <c r="H45" s="42" t="s">
        <v>21</v>
      </c>
      <c r="I45" s="31" t="s">
        <v>158</v>
      </c>
      <c r="J45" s="32"/>
      <c r="K45" s="42" t="s">
        <v>30</v>
      </c>
      <c r="L45" s="42" t="s">
        <v>30</v>
      </c>
      <c r="M45" s="42" t="s">
        <v>30</v>
      </c>
      <c r="N45" s="42" t="s">
        <v>30</v>
      </c>
      <c r="O45" s="42" t="s">
        <v>30</v>
      </c>
      <c r="P45" s="42" t="s">
        <v>30</v>
      </c>
      <c r="Q45" s="42" t="s">
        <v>30</v>
      </c>
      <c r="R45" s="42" t="s">
        <v>30</v>
      </c>
      <c r="S45" s="42" t="s">
        <v>30</v>
      </c>
      <c r="T45" s="42" t="s">
        <v>30</v>
      </c>
      <c r="U45" s="42" t="s">
        <v>30</v>
      </c>
      <c r="V45" s="42" t="s">
        <v>30</v>
      </c>
      <c r="W45" s="42" t="s">
        <v>30</v>
      </c>
      <c r="X45" s="33" t="str">
        <f t="shared" si="6"/>
        <v>#REF!</v>
      </c>
      <c r="Y45" s="59" t="s">
        <v>178</v>
      </c>
      <c r="Z45" s="57"/>
      <c r="AA45" s="60">
        <v>43379.0</v>
      </c>
      <c r="AB45" s="61" t="s">
        <v>179</v>
      </c>
      <c r="AC45" s="61" t="s">
        <v>179</v>
      </c>
    </row>
    <row r="46" ht="15.75" hidden="1" customHeight="1">
      <c r="A46" s="25">
        <f t="shared" si="1"/>
        <v>9</v>
      </c>
      <c r="B46" s="25">
        <f t="shared" si="7"/>
        <v>9</v>
      </c>
      <c r="C46" s="26" t="s">
        <v>64</v>
      </c>
      <c r="D46" s="27" t="s">
        <v>175</v>
      </c>
      <c r="E46" s="28" t="s">
        <v>70</v>
      </c>
      <c r="F46" s="28" t="s">
        <v>41</v>
      </c>
      <c r="G46" s="29" t="s">
        <v>49</v>
      </c>
      <c r="H46" s="30" t="s">
        <v>30</v>
      </c>
      <c r="I46" s="31" t="s">
        <v>158</v>
      </c>
      <c r="J46" s="32"/>
      <c r="K46" s="30" t="s">
        <v>30</v>
      </c>
      <c r="L46" s="30" t="s">
        <v>21</v>
      </c>
      <c r="M46" s="30" t="s">
        <v>30</v>
      </c>
      <c r="N46" s="30" t="s">
        <v>30</v>
      </c>
      <c r="O46" s="30" t="s">
        <v>30</v>
      </c>
      <c r="P46" s="30" t="s">
        <v>30</v>
      </c>
      <c r="Q46" s="30" t="s">
        <v>30</v>
      </c>
      <c r="R46" s="30" t="s">
        <v>30</v>
      </c>
      <c r="S46" s="30" t="s">
        <v>30</v>
      </c>
      <c r="T46" s="30" t="s">
        <v>30</v>
      </c>
      <c r="U46" s="30" t="s">
        <v>30</v>
      </c>
      <c r="V46" s="30" t="s">
        <v>30</v>
      </c>
      <c r="W46" s="30" t="s">
        <v>30</v>
      </c>
      <c r="X46" s="33" t="str">
        <f t="shared" si="6"/>
        <v>#REF!</v>
      </c>
      <c r="Y46" s="59" t="s">
        <v>181</v>
      </c>
      <c r="Z46" s="57"/>
      <c r="AA46" s="60">
        <v>43385.0</v>
      </c>
      <c r="AB46" s="61" t="s">
        <v>182</v>
      </c>
      <c r="AC46" s="61" t="s">
        <v>183</v>
      </c>
    </row>
    <row r="47" ht="15.75" hidden="1" customHeight="1">
      <c r="A47" s="25">
        <f t="shared" si="1"/>
        <v>9</v>
      </c>
      <c r="B47" s="25">
        <f t="shared" si="7"/>
        <v>10</v>
      </c>
      <c r="C47" s="26" t="s">
        <v>84</v>
      </c>
      <c r="D47" s="27" t="s">
        <v>177</v>
      </c>
      <c r="E47" s="28" t="s">
        <v>19</v>
      </c>
      <c r="F47" s="28" t="s">
        <v>70</v>
      </c>
      <c r="G47" s="29" t="s">
        <v>71</v>
      </c>
      <c r="H47" s="30" t="s">
        <v>21</v>
      </c>
      <c r="I47" s="31" t="s">
        <v>158</v>
      </c>
      <c r="J47" s="32"/>
      <c r="K47" s="30"/>
      <c r="L47" s="30" t="s">
        <v>21</v>
      </c>
      <c r="M47" s="30" t="s">
        <v>24</v>
      </c>
      <c r="N47" s="30"/>
      <c r="O47" s="30" t="s">
        <v>24</v>
      </c>
      <c r="P47" s="30" t="s">
        <v>21</v>
      </c>
      <c r="Q47" s="30"/>
      <c r="R47" s="30" t="s">
        <v>21</v>
      </c>
      <c r="S47" s="30" t="s">
        <v>21</v>
      </c>
      <c r="T47" s="30"/>
      <c r="U47" s="30" t="s">
        <v>21</v>
      </c>
      <c r="V47" s="30" t="s">
        <v>24</v>
      </c>
      <c r="W47" s="30"/>
      <c r="X47" s="33" t="str">
        <f t="shared" si="6"/>
        <v>#REF!</v>
      </c>
      <c r="Y47" s="59"/>
      <c r="Z47" s="57"/>
      <c r="AA47" s="60"/>
      <c r="AB47" s="61"/>
      <c r="AC47" s="61"/>
    </row>
    <row r="48" ht="15.75" hidden="1" customHeight="1">
      <c r="A48" s="25">
        <f t="shared" si="1"/>
        <v>11</v>
      </c>
      <c r="B48" s="25">
        <f t="shared" si="7"/>
        <v>6</v>
      </c>
      <c r="C48" s="26" t="s">
        <v>113</v>
      </c>
      <c r="D48" s="27" t="s">
        <v>180</v>
      </c>
      <c r="E48" s="28" t="s">
        <v>48</v>
      </c>
      <c r="F48" s="28" t="s">
        <v>28</v>
      </c>
      <c r="G48" s="29" t="s">
        <v>20</v>
      </c>
      <c r="H48" s="34" t="s">
        <v>21</v>
      </c>
      <c r="I48" s="31" t="s">
        <v>89</v>
      </c>
      <c r="J48" s="32" t="s">
        <v>68</v>
      </c>
      <c r="K48" s="30"/>
      <c r="L48" s="30" t="s">
        <v>24</v>
      </c>
      <c r="M48" s="30" t="s">
        <v>21</v>
      </c>
      <c r="N48" s="30"/>
      <c r="O48" s="30" t="s">
        <v>24</v>
      </c>
      <c r="P48" s="30" t="s">
        <v>52</v>
      </c>
      <c r="Q48" s="30"/>
      <c r="R48" s="30" t="s">
        <v>24</v>
      </c>
      <c r="S48" s="30" t="s">
        <v>30</v>
      </c>
      <c r="T48" s="30" t="s">
        <v>30</v>
      </c>
      <c r="U48" s="30" t="s">
        <v>30</v>
      </c>
      <c r="V48" s="30" t="s">
        <v>30</v>
      </c>
      <c r="W48" s="30" t="s">
        <v>30</v>
      </c>
      <c r="X48" s="33" t="str">
        <f t="shared" si="6"/>
        <v>#REF!</v>
      </c>
      <c r="Y48" s="59"/>
      <c r="Z48" s="57"/>
      <c r="AA48" s="60"/>
      <c r="AB48" s="61"/>
      <c r="AC48" s="61"/>
    </row>
    <row r="49" ht="15.75" hidden="1" customHeight="1">
      <c r="A49" s="25">
        <f t="shared" si="1"/>
        <v>11</v>
      </c>
      <c r="B49" s="25">
        <f t="shared" si="7"/>
        <v>6</v>
      </c>
      <c r="C49" s="26" t="s">
        <v>113</v>
      </c>
      <c r="D49" s="27" t="s">
        <v>185</v>
      </c>
      <c r="E49" s="28" t="s">
        <v>70</v>
      </c>
      <c r="F49" s="28" t="s">
        <v>19</v>
      </c>
      <c r="G49" s="29" t="s">
        <v>71</v>
      </c>
      <c r="H49" s="30" t="s">
        <v>21</v>
      </c>
      <c r="I49" s="31" t="s">
        <v>89</v>
      </c>
      <c r="J49" s="32"/>
      <c r="K49" s="30"/>
      <c r="L49" s="30" t="s">
        <v>21</v>
      </c>
      <c r="M49" s="30" t="s">
        <v>21</v>
      </c>
      <c r="N49" s="30"/>
      <c r="O49" s="30" t="s">
        <v>21</v>
      </c>
      <c r="P49" s="30" t="s">
        <v>21</v>
      </c>
      <c r="Q49" s="30"/>
      <c r="R49" s="30" t="s">
        <v>21</v>
      </c>
      <c r="S49" s="30" t="s">
        <v>21</v>
      </c>
      <c r="T49" s="30"/>
      <c r="U49" s="30" t="s">
        <v>21</v>
      </c>
      <c r="V49" s="30" t="s">
        <v>21</v>
      </c>
      <c r="W49" s="30"/>
      <c r="X49" s="33" t="str">
        <f t="shared" si="6"/>
        <v>#REF!</v>
      </c>
      <c r="Y49" s="59"/>
      <c r="Z49" s="57"/>
      <c r="AA49" s="60"/>
      <c r="AB49" s="61"/>
      <c r="AC49" s="61"/>
    </row>
    <row r="50" ht="15.75" hidden="1" customHeight="1">
      <c r="A50" s="25">
        <f t="shared" si="1"/>
        <v>11</v>
      </c>
      <c r="B50" s="25">
        <f t="shared" si="7"/>
        <v>9</v>
      </c>
      <c r="C50" s="26" t="s">
        <v>64</v>
      </c>
      <c r="D50" s="27" t="s">
        <v>187</v>
      </c>
      <c r="E50" s="28" t="s">
        <v>61</v>
      </c>
      <c r="F50" s="28" t="s">
        <v>41</v>
      </c>
      <c r="G50" s="29" t="s">
        <v>163</v>
      </c>
      <c r="H50" s="30" t="s">
        <v>30</v>
      </c>
      <c r="I50" s="31" t="s">
        <v>89</v>
      </c>
      <c r="J50" s="32"/>
      <c r="K50" s="30" t="s">
        <v>30</v>
      </c>
      <c r="L50" s="30" t="s">
        <v>30</v>
      </c>
      <c r="M50" s="30" t="s">
        <v>30</v>
      </c>
      <c r="N50" s="30" t="s">
        <v>30</v>
      </c>
      <c r="O50" s="30" t="s">
        <v>30</v>
      </c>
      <c r="P50" s="30" t="s">
        <v>30</v>
      </c>
      <c r="Q50" s="30" t="s">
        <v>30</v>
      </c>
      <c r="R50" s="30" t="s">
        <v>30</v>
      </c>
      <c r="S50" s="30" t="s">
        <v>30</v>
      </c>
      <c r="T50" s="30" t="s">
        <v>30</v>
      </c>
      <c r="U50" s="30" t="s">
        <v>30</v>
      </c>
      <c r="V50" s="30" t="s">
        <v>30</v>
      </c>
      <c r="W50" s="30" t="s">
        <v>30</v>
      </c>
      <c r="X50" s="33" t="str">
        <f t="shared" si="6"/>
        <v>#REF!</v>
      </c>
      <c r="Y50" s="59"/>
      <c r="Z50" s="57"/>
      <c r="AA50" s="60"/>
      <c r="AB50" s="61"/>
      <c r="AC50" s="61"/>
    </row>
    <row r="51" ht="15.75" hidden="1" customHeight="1">
      <c r="A51" s="25">
        <f t="shared" si="1"/>
        <v>12</v>
      </c>
      <c r="B51" s="25">
        <f t="shared" si="7"/>
        <v>7</v>
      </c>
      <c r="C51" s="26" t="s">
        <v>46</v>
      </c>
      <c r="D51" s="27" t="s">
        <v>188</v>
      </c>
      <c r="E51" s="28" t="s">
        <v>41</v>
      </c>
      <c r="F51" s="28" t="s">
        <v>61</v>
      </c>
      <c r="G51" s="29" t="s">
        <v>62</v>
      </c>
      <c r="H51" s="30" t="s">
        <v>21</v>
      </c>
      <c r="I51" s="31" t="s">
        <v>92</v>
      </c>
      <c r="J51" s="32" t="s">
        <v>189</v>
      </c>
      <c r="K51" s="30"/>
      <c r="L51" s="30" t="s">
        <v>21</v>
      </c>
      <c r="M51" s="30" t="s">
        <v>21</v>
      </c>
      <c r="N51" s="30"/>
      <c r="O51" s="30" t="s">
        <v>24</v>
      </c>
      <c r="P51" s="30" t="s">
        <v>21</v>
      </c>
      <c r="Q51" s="30"/>
      <c r="R51" s="30" t="s">
        <v>21</v>
      </c>
      <c r="S51" s="30" t="s">
        <v>21</v>
      </c>
      <c r="T51" s="30"/>
      <c r="U51" s="30" t="s">
        <v>21</v>
      </c>
      <c r="V51" s="30" t="s">
        <v>21</v>
      </c>
      <c r="W51" s="30"/>
      <c r="X51" s="33" t="str">
        <f t="shared" si="6"/>
        <v>#REF!</v>
      </c>
      <c r="Y51" s="59"/>
      <c r="Z51" s="57"/>
      <c r="AA51" s="60"/>
      <c r="AB51" s="61"/>
      <c r="AC51" s="61"/>
    </row>
    <row r="52" ht="15.75" hidden="1" customHeight="1">
      <c r="A52" s="25">
        <f t="shared" si="1"/>
        <v>12</v>
      </c>
      <c r="B52" s="25">
        <f t="shared" si="7"/>
        <v>6</v>
      </c>
      <c r="C52" s="26" t="s">
        <v>113</v>
      </c>
      <c r="D52" s="27" t="s">
        <v>190</v>
      </c>
      <c r="E52" s="28" t="s">
        <v>70</v>
      </c>
      <c r="F52" s="28" t="s">
        <v>48</v>
      </c>
      <c r="G52" s="29" t="s">
        <v>191</v>
      </c>
      <c r="H52" s="30" t="s">
        <v>21</v>
      </c>
      <c r="I52" s="31" t="s">
        <v>92</v>
      </c>
      <c r="J52" s="32" t="s">
        <v>192</v>
      </c>
      <c r="K52" s="30"/>
      <c r="L52" s="30" t="s">
        <v>21</v>
      </c>
      <c r="M52" s="30" t="s">
        <v>21</v>
      </c>
      <c r="N52" s="30"/>
      <c r="O52" s="30" t="s">
        <v>24</v>
      </c>
      <c r="P52" s="30" t="s">
        <v>24</v>
      </c>
      <c r="Q52" s="30"/>
      <c r="R52" s="30" t="s">
        <v>30</v>
      </c>
      <c r="S52" s="30" t="s">
        <v>30</v>
      </c>
      <c r="T52" s="30" t="s">
        <v>30</v>
      </c>
      <c r="U52" s="30" t="s">
        <v>30</v>
      </c>
      <c r="V52" s="30" t="s">
        <v>30</v>
      </c>
      <c r="W52" s="30" t="s">
        <v>30</v>
      </c>
      <c r="X52" s="33" t="str">
        <f t="shared" si="6"/>
        <v>#REF!</v>
      </c>
      <c r="Y52" s="59"/>
      <c r="Z52" s="57"/>
      <c r="AA52" s="60"/>
      <c r="AB52" s="61"/>
      <c r="AC52" s="61"/>
    </row>
    <row r="53" ht="15.75" hidden="1" customHeight="1">
      <c r="A53" s="25">
        <f t="shared" si="1"/>
        <v>12</v>
      </c>
      <c r="B53" s="25">
        <f t="shared" si="7"/>
        <v>8</v>
      </c>
      <c r="C53" s="26" t="s">
        <v>54</v>
      </c>
      <c r="D53" s="27" t="s">
        <v>193</v>
      </c>
      <c r="E53" s="28" t="s">
        <v>19</v>
      </c>
      <c r="F53" s="28"/>
      <c r="G53" s="29" t="s">
        <v>49</v>
      </c>
      <c r="H53" s="30" t="s">
        <v>30</v>
      </c>
      <c r="I53" s="31" t="s">
        <v>92</v>
      </c>
      <c r="J53" s="32" t="s">
        <v>194</v>
      </c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3" t="str">
        <f t="shared" si="6"/>
        <v>#REF!</v>
      </c>
      <c r="Y53" s="59"/>
      <c r="Z53" s="57"/>
      <c r="AA53" s="60"/>
      <c r="AB53" s="61"/>
      <c r="AC53" s="61"/>
    </row>
    <row r="54" ht="15.75" hidden="1" customHeight="1">
      <c r="A54" s="25">
        <f t="shared" si="1"/>
        <v>12</v>
      </c>
      <c r="B54" s="25">
        <f t="shared" si="7"/>
        <v>6</v>
      </c>
      <c r="C54" s="26" t="s">
        <v>113</v>
      </c>
      <c r="D54" s="27" t="s">
        <v>196</v>
      </c>
      <c r="E54" s="28" t="s">
        <v>70</v>
      </c>
      <c r="F54" s="28" t="s">
        <v>61</v>
      </c>
      <c r="G54" s="29" t="s">
        <v>20</v>
      </c>
      <c r="H54" s="30" t="s">
        <v>21</v>
      </c>
      <c r="I54" s="31" t="s">
        <v>92</v>
      </c>
      <c r="J54" s="32" t="s">
        <v>197</v>
      </c>
      <c r="K54" s="30"/>
      <c r="L54" s="30" t="s">
        <v>24</v>
      </c>
      <c r="M54" s="30" t="s">
        <v>24</v>
      </c>
      <c r="N54" s="30"/>
      <c r="O54" s="30" t="s">
        <v>21</v>
      </c>
      <c r="P54" s="30" t="s">
        <v>21</v>
      </c>
      <c r="Q54" s="30"/>
      <c r="R54" s="30" t="s">
        <v>21</v>
      </c>
      <c r="S54" s="30" t="s">
        <v>21</v>
      </c>
      <c r="T54" s="30"/>
      <c r="U54" s="30" t="s">
        <v>21</v>
      </c>
      <c r="V54" s="30" t="s">
        <v>21</v>
      </c>
      <c r="W54" s="30"/>
      <c r="X54" s="33" t="str">
        <f t="shared" si="6"/>
        <v>#REF!</v>
      </c>
      <c r="Y54" s="59"/>
      <c r="Z54" s="57"/>
      <c r="AA54" s="60"/>
      <c r="AB54" s="61"/>
      <c r="AC54" s="61"/>
    </row>
    <row r="55" ht="15.75" hidden="1" customHeight="1">
      <c r="A55" s="25">
        <f t="shared" si="1"/>
        <v>12</v>
      </c>
      <c r="B55" s="25">
        <f t="shared" si="7"/>
        <v>9</v>
      </c>
      <c r="C55" s="26" t="s">
        <v>64</v>
      </c>
      <c r="D55" s="62" t="s">
        <v>198</v>
      </c>
      <c r="E55" s="28" t="s">
        <v>70</v>
      </c>
      <c r="F55" s="28" t="s">
        <v>61</v>
      </c>
      <c r="G55" s="29" t="s">
        <v>71</v>
      </c>
      <c r="H55" s="30" t="s">
        <v>21</v>
      </c>
      <c r="I55" s="31" t="s">
        <v>92</v>
      </c>
      <c r="J55" s="32" t="s">
        <v>199</v>
      </c>
      <c r="K55" s="30"/>
      <c r="L55" s="30" t="s">
        <v>21</v>
      </c>
      <c r="M55" s="30" t="s">
        <v>21</v>
      </c>
      <c r="N55" s="30"/>
      <c r="O55" s="30" t="s">
        <v>21</v>
      </c>
      <c r="P55" s="30" t="s">
        <v>21</v>
      </c>
      <c r="Q55" s="30"/>
      <c r="R55" s="30" t="s">
        <v>21</v>
      </c>
      <c r="S55" s="30" t="s">
        <v>21</v>
      </c>
      <c r="T55" s="30"/>
      <c r="U55" s="30" t="s">
        <v>21</v>
      </c>
      <c r="V55" s="30" t="s">
        <v>21</v>
      </c>
      <c r="W55" s="30"/>
      <c r="X55" s="33" t="str">
        <f t="shared" si="6"/>
        <v>#REF!</v>
      </c>
      <c r="Y55" s="59"/>
      <c r="Z55" s="57"/>
      <c r="AA55" s="60"/>
      <c r="AB55" s="61"/>
      <c r="AC55" s="61"/>
    </row>
    <row r="56" ht="15.75" hidden="1" customHeight="1">
      <c r="A56" s="25">
        <f t="shared" si="1"/>
        <v>12</v>
      </c>
      <c r="B56" s="25">
        <f t="shared" si="7"/>
        <v>10</v>
      </c>
      <c r="C56" s="26" t="s">
        <v>84</v>
      </c>
      <c r="D56" s="27" t="s">
        <v>200</v>
      </c>
      <c r="E56" s="28" t="s">
        <v>19</v>
      </c>
      <c r="F56" s="28" t="s">
        <v>70</v>
      </c>
      <c r="G56" s="29" t="s">
        <v>71</v>
      </c>
      <c r="H56" s="30" t="s">
        <v>21</v>
      </c>
      <c r="I56" s="31" t="s">
        <v>92</v>
      </c>
      <c r="J56" s="32" t="s">
        <v>199</v>
      </c>
      <c r="K56" s="30"/>
      <c r="L56" s="30" t="s">
        <v>21</v>
      </c>
      <c r="M56" s="30" t="s">
        <v>21</v>
      </c>
      <c r="N56" s="30"/>
      <c r="O56" s="30" t="s">
        <v>24</v>
      </c>
      <c r="P56" s="30" t="s">
        <v>24</v>
      </c>
      <c r="Q56" s="30"/>
      <c r="R56" s="30" t="s">
        <v>21</v>
      </c>
      <c r="S56" s="30" t="s">
        <v>24</v>
      </c>
      <c r="T56" s="30"/>
      <c r="U56" s="30" t="s">
        <v>21</v>
      </c>
      <c r="V56" s="30" t="s">
        <v>21</v>
      </c>
      <c r="W56" s="30"/>
      <c r="X56" s="33" t="str">
        <f t="shared" si="6"/>
        <v>#REF!</v>
      </c>
      <c r="Y56" s="59"/>
      <c r="Z56" s="57"/>
      <c r="AA56" s="60"/>
      <c r="AB56" s="61"/>
      <c r="AC56" s="61"/>
    </row>
    <row r="57" ht="15.75" hidden="1" customHeight="1">
      <c r="A57" s="25">
        <f t="shared" si="1"/>
        <v>12</v>
      </c>
      <c r="B57" s="25">
        <f t="shared" si="7"/>
        <v>10</v>
      </c>
      <c r="C57" s="26" t="s">
        <v>84</v>
      </c>
      <c r="D57" s="27" t="s">
        <v>201</v>
      </c>
      <c r="E57" s="28" t="s">
        <v>19</v>
      </c>
      <c r="F57" s="28"/>
      <c r="G57" s="29" t="s">
        <v>62</v>
      </c>
      <c r="H57" s="30" t="s">
        <v>21</v>
      </c>
      <c r="I57" s="31" t="s">
        <v>92</v>
      </c>
      <c r="J57" s="32" t="s">
        <v>202</v>
      </c>
      <c r="K57" s="30"/>
      <c r="L57" s="63" t="s">
        <v>21</v>
      </c>
      <c r="M57" s="30" t="s">
        <v>21</v>
      </c>
      <c r="N57" s="30"/>
      <c r="O57" s="30" t="s">
        <v>24</v>
      </c>
      <c r="P57" s="30" t="s">
        <v>21</v>
      </c>
      <c r="Q57" s="30"/>
      <c r="R57" s="30" t="s">
        <v>24</v>
      </c>
      <c r="S57" s="30" t="s">
        <v>21</v>
      </c>
      <c r="T57" s="30"/>
      <c r="U57" s="30" t="s">
        <v>21</v>
      </c>
      <c r="V57" s="30" t="s">
        <v>21</v>
      </c>
      <c r="W57" s="30"/>
      <c r="X57" s="33" t="str">
        <f t="shared" si="6"/>
        <v>#REF!</v>
      </c>
      <c r="Y57" s="59"/>
      <c r="Z57" s="57"/>
      <c r="AA57" s="60"/>
      <c r="AB57" s="61"/>
      <c r="AC57" s="61"/>
    </row>
    <row r="58" ht="15.75" hidden="1" customHeight="1">
      <c r="A58" s="25">
        <f t="shared" si="1"/>
        <v>12</v>
      </c>
      <c r="B58" s="25">
        <f t="shared" si="7"/>
        <v>10</v>
      </c>
      <c r="C58" s="26" t="s">
        <v>84</v>
      </c>
      <c r="D58" s="27" t="s">
        <v>203</v>
      </c>
      <c r="E58" s="28" t="s">
        <v>61</v>
      </c>
      <c r="F58" s="28" t="s">
        <v>41</v>
      </c>
      <c r="G58" s="29" t="s">
        <v>71</v>
      </c>
      <c r="H58" s="30" t="s">
        <v>21</v>
      </c>
      <c r="I58" s="31" t="s">
        <v>92</v>
      </c>
      <c r="J58" s="32" t="s">
        <v>204</v>
      </c>
      <c r="K58" s="30"/>
      <c r="L58" s="30" t="s">
        <v>24</v>
      </c>
      <c r="M58" s="30" t="s">
        <v>24</v>
      </c>
      <c r="N58" s="30"/>
      <c r="O58" s="30" t="s">
        <v>24</v>
      </c>
      <c r="P58" s="30" t="s">
        <v>21</v>
      </c>
      <c r="Q58" s="30"/>
      <c r="R58" s="30" t="s">
        <v>21</v>
      </c>
      <c r="S58" s="30" t="s">
        <v>24</v>
      </c>
      <c r="T58" s="30"/>
      <c r="U58" s="30" t="s">
        <v>24</v>
      </c>
      <c r="V58" s="30" t="s">
        <v>21</v>
      </c>
      <c r="W58" s="30"/>
      <c r="X58" s="33" t="str">
        <f t="shared" si="6"/>
        <v>#REF!</v>
      </c>
    </row>
    <row r="59" ht="15.75" hidden="1" customHeight="1">
      <c r="A59" s="25">
        <f t="shared" si="1"/>
        <v>12</v>
      </c>
      <c r="B59" s="25">
        <f t="shared" si="7"/>
        <v>10</v>
      </c>
      <c r="C59" s="26" t="s">
        <v>84</v>
      </c>
      <c r="D59" s="27" t="s">
        <v>209</v>
      </c>
      <c r="E59" s="28" t="s">
        <v>19</v>
      </c>
      <c r="F59" s="28"/>
      <c r="G59" s="29" t="s">
        <v>71</v>
      </c>
      <c r="H59" s="30" t="s">
        <v>21</v>
      </c>
      <c r="I59" s="31" t="s">
        <v>92</v>
      </c>
      <c r="J59" s="32" t="s">
        <v>204</v>
      </c>
      <c r="K59" s="30"/>
      <c r="L59" s="30" t="s">
        <v>24</v>
      </c>
      <c r="M59" s="30" t="s">
        <v>24</v>
      </c>
      <c r="N59" s="30"/>
      <c r="O59" s="30" t="s">
        <v>24</v>
      </c>
      <c r="P59" s="30" t="s">
        <v>24</v>
      </c>
      <c r="Q59" s="30"/>
      <c r="R59" s="30" t="s">
        <v>37</v>
      </c>
      <c r="S59" s="30" t="s">
        <v>37</v>
      </c>
      <c r="T59" s="30" t="s">
        <v>37</v>
      </c>
      <c r="U59" s="30" t="s">
        <v>37</v>
      </c>
      <c r="V59" s="30" t="s">
        <v>37</v>
      </c>
      <c r="W59" s="30" t="s">
        <v>37</v>
      </c>
      <c r="X59" s="33" t="str">
        <f t="shared" si="6"/>
        <v>#REF!</v>
      </c>
    </row>
    <row r="60" ht="15.75" hidden="1" customHeight="1">
      <c r="A60" s="25">
        <f t="shared" si="1"/>
        <v>12</v>
      </c>
      <c r="B60" s="25">
        <f t="shared" si="7"/>
        <v>9</v>
      </c>
      <c r="C60" s="26" t="s">
        <v>64</v>
      </c>
      <c r="D60" s="27" t="s">
        <v>205</v>
      </c>
      <c r="E60" s="28" t="s">
        <v>19</v>
      </c>
      <c r="F60" s="28"/>
      <c r="G60" s="29" t="s">
        <v>163</v>
      </c>
      <c r="H60" s="30" t="s">
        <v>30</v>
      </c>
      <c r="I60" s="31" t="s">
        <v>92</v>
      </c>
      <c r="J60" s="32"/>
      <c r="K60" s="30" t="s">
        <v>30</v>
      </c>
      <c r="L60" s="30" t="s">
        <v>30</v>
      </c>
      <c r="M60" s="30" t="s">
        <v>30</v>
      </c>
      <c r="N60" s="30" t="s">
        <v>30</v>
      </c>
      <c r="O60" s="30" t="s">
        <v>30</v>
      </c>
      <c r="P60" s="30" t="s">
        <v>30</v>
      </c>
      <c r="Q60" s="30" t="s">
        <v>30</v>
      </c>
      <c r="R60" s="30" t="s">
        <v>30</v>
      </c>
      <c r="S60" s="30" t="s">
        <v>30</v>
      </c>
      <c r="T60" s="30" t="s">
        <v>30</v>
      </c>
      <c r="U60" s="30" t="s">
        <v>30</v>
      </c>
      <c r="V60" s="30" t="s">
        <v>30</v>
      </c>
      <c r="W60" s="30" t="s">
        <v>30</v>
      </c>
      <c r="X60" s="33" t="str">
        <f t="shared" si="6"/>
        <v>#REF!</v>
      </c>
      <c r="Y60" s="64" t="s">
        <v>206</v>
      </c>
      <c r="Z60" s="4"/>
      <c r="AA60" s="4"/>
      <c r="AB60" s="4"/>
      <c r="AC60" s="5"/>
    </row>
    <row r="61" ht="15.75" hidden="1" customHeight="1">
      <c r="A61" s="25">
        <f t="shared" si="1"/>
        <v>12</v>
      </c>
      <c r="B61" s="25">
        <f t="shared" si="7"/>
        <v>10</v>
      </c>
      <c r="C61" s="26" t="s">
        <v>84</v>
      </c>
      <c r="D61" s="27" t="s">
        <v>207</v>
      </c>
      <c r="E61" s="28" t="s">
        <v>19</v>
      </c>
      <c r="F61" s="28"/>
      <c r="G61" s="29" t="s">
        <v>49</v>
      </c>
      <c r="H61" s="30" t="s">
        <v>30</v>
      </c>
      <c r="I61" s="31" t="s">
        <v>92</v>
      </c>
      <c r="J61" s="32"/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0" t="s">
        <v>30</v>
      </c>
      <c r="X61" s="33" t="str">
        <f t="shared" si="6"/>
        <v>#REF!</v>
      </c>
      <c r="Y61" s="65" t="s">
        <v>241</v>
      </c>
      <c r="Z61" s="4"/>
      <c r="AA61" s="4"/>
      <c r="AB61" s="4"/>
      <c r="AC61" s="5"/>
    </row>
    <row r="62" ht="15.75" hidden="1" customHeight="1">
      <c r="A62" s="25">
        <f t="shared" si="1"/>
        <v>13</v>
      </c>
      <c r="B62" s="25">
        <f t="shared" si="7"/>
        <v>8</v>
      </c>
      <c r="C62" s="26" t="s">
        <v>54</v>
      </c>
      <c r="D62" s="27" t="s">
        <v>242</v>
      </c>
      <c r="E62" s="88"/>
      <c r="F62" s="28"/>
      <c r="G62" s="29" t="s">
        <v>49</v>
      </c>
      <c r="H62" s="30" t="s">
        <v>21</v>
      </c>
      <c r="I62" s="31" t="s">
        <v>95</v>
      </c>
      <c r="J62" s="32" t="s">
        <v>216</v>
      </c>
      <c r="K62" s="30"/>
      <c r="L62" s="30" t="s">
        <v>21</v>
      </c>
      <c r="M62" s="30" t="s">
        <v>21</v>
      </c>
      <c r="N62" s="30"/>
      <c r="O62" s="30" t="s">
        <v>21</v>
      </c>
      <c r="P62" s="63" t="s">
        <v>21</v>
      </c>
      <c r="Q62" s="30"/>
      <c r="R62" s="30" t="s">
        <v>21</v>
      </c>
      <c r="S62" s="30" t="s">
        <v>21</v>
      </c>
      <c r="T62" s="30"/>
      <c r="U62" s="30" t="s">
        <v>21</v>
      </c>
      <c r="V62" s="30"/>
      <c r="W62" s="30"/>
      <c r="X62" s="33" t="str">
        <f t="shared" si="6"/>
        <v>#REF!</v>
      </c>
      <c r="Y62" s="65" t="s">
        <v>243</v>
      </c>
      <c r="Z62" s="4"/>
      <c r="AA62" s="4"/>
      <c r="AB62" s="4"/>
      <c r="AC62" s="4"/>
    </row>
    <row r="63" ht="15.75" hidden="1" customHeight="1">
      <c r="A63" s="25">
        <f t="shared" si="1"/>
        <v>13</v>
      </c>
      <c r="B63" s="25">
        <f t="shared" si="7"/>
        <v>8</v>
      </c>
      <c r="C63" s="26" t="s">
        <v>54</v>
      </c>
      <c r="D63" s="27" t="s">
        <v>215</v>
      </c>
      <c r="E63" s="28" t="s">
        <v>41</v>
      </c>
      <c r="F63" s="28" t="s">
        <v>76</v>
      </c>
      <c r="G63" s="29" t="s">
        <v>71</v>
      </c>
      <c r="H63" s="30" t="s">
        <v>21</v>
      </c>
      <c r="I63" s="31" t="s">
        <v>95</v>
      </c>
      <c r="J63" s="32" t="s">
        <v>216</v>
      </c>
      <c r="K63" s="30"/>
      <c r="L63" s="30" t="s">
        <v>21</v>
      </c>
      <c r="M63" s="30" t="s">
        <v>21</v>
      </c>
      <c r="N63" s="30"/>
      <c r="O63" s="30" t="s">
        <v>21</v>
      </c>
      <c r="P63" s="30" t="s">
        <v>21</v>
      </c>
      <c r="Q63" s="30"/>
      <c r="R63" s="30" t="s">
        <v>24</v>
      </c>
      <c r="S63" s="30" t="s">
        <v>21</v>
      </c>
      <c r="T63" s="30"/>
      <c r="U63" s="30" t="s">
        <v>24</v>
      </c>
      <c r="V63" s="30"/>
      <c r="W63" s="30"/>
      <c r="X63" s="33" t="str">
        <f>SUM( (COUNTIF(K63,"A") + (COUNTIF(K63,"T")/2) + (COUNTIF(K63,"O")/2) )+ (COUNTIF(L63,"A") + (COUNTIF(L63,"T")/2) + (COUNTIF(L63,"O")/2) )+ (COUNTIF(M63,"A") + (COUNTIF(M63,"T")/2) + (COUNTIF(M63,"O")/2) )+ (COUNTIF(N63,"A") + (COUNTIF(N63,"T")/2) + (COUNTIF(N63,"O")/2) )+ (COUNTIF(#REF!,"A") + (COUNTIF(#REF!,"T")/2) + (COUNTIF(#REF!,"O")/2) )+ (COUNTIF(O63,"A") + (COUNTIF(O63,"T")/2) + (COUNTIF(O63,"O")/2) )+ (COUNTIF(Q63,"A") + (COUNTIF(Q63,"T")/2) + (COUNTIF(Q63,"O")/2) )+ (COUNTIF(R63,"A") + (COUNTIF(R63,"T")/2) + (COUNTIF(R63,"O")/2) )+ (COUNTIF(S63,"A") + (COUNTIF(S63,"T")/2) + (COUNTIF(S63,"O")/2) )+ (COUNTIF(#REF!,"A") + (COUNTIF(#REF!,"T")/2) + (COUNTIF(#REF!,"O")/2) )+ (COUNTIF(T63,"A") + (COUNTIF(T63,"T")/2) + (COUNTIF(T63,"O")/2) )+ (COUNTIF(U63,"A") + (COUNTIF(U63,"T")/2) + (COUNTIF(U63,"O")/2) )+ (COUNTIF(V63,"A") + (COUNTIF(V63,"T")/2) + (COUNTIF(V63,"O")/2) ) )/$X$1</f>
        <v>#REF!</v>
      </c>
      <c r="Y63" s="65" t="s">
        <v>244</v>
      </c>
      <c r="Z63" s="4"/>
      <c r="AA63" s="4"/>
      <c r="AB63" s="4"/>
      <c r="AC63" s="5"/>
    </row>
    <row r="64" ht="15.75" hidden="1" customHeight="1">
      <c r="A64" s="25">
        <f t="shared" si="1"/>
        <v>13</v>
      </c>
      <c r="B64" s="25">
        <f t="shared" si="7"/>
        <v>9</v>
      </c>
      <c r="C64" s="26" t="s">
        <v>64</v>
      </c>
      <c r="D64" s="27" t="s">
        <v>211</v>
      </c>
      <c r="E64" s="28" t="s">
        <v>61</v>
      </c>
      <c r="F64" s="28" t="s">
        <v>19</v>
      </c>
      <c r="G64" s="29" t="s">
        <v>62</v>
      </c>
      <c r="H64" s="30" t="s">
        <v>21</v>
      </c>
      <c r="I64" s="31" t="s">
        <v>95</v>
      </c>
      <c r="J64" s="32" t="s">
        <v>210</v>
      </c>
      <c r="K64" s="30"/>
      <c r="L64" s="30" t="s">
        <v>21</v>
      </c>
      <c r="M64" s="30" t="s">
        <v>21</v>
      </c>
      <c r="N64" s="30"/>
      <c r="O64" s="30" t="s">
        <v>21</v>
      </c>
      <c r="P64" s="30" t="s">
        <v>21</v>
      </c>
      <c r="Q64" s="30"/>
      <c r="R64" s="30" t="s">
        <v>24</v>
      </c>
      <c r="S64" s="30" t="s">
        <v>21</v>
      </c>
      <c r="T64" s="30"/>
      <c r="U64" s="30" t="s">
        <v>21</v>
      </c>
      <c r="V64" s="30"/>
      <c r="W64" s="30"/>
      <c r="X64" s="33" t="str">
        <f t="shared" ref="X64:X98" si="8">SUM( (COUNTIF(K64,"A") + (COUNTIF(K64,"T")/2) + (COUNTIF(K64,"O")/2) )+ (COUNTIF(L64,"A") + (COUNTIF(L64,"T")/2) + (COUNTIF(L64,"O")/2) )+ (COUNTIF(M64,"A") + (COUNTIF(M64,"T")/2) + (COUNTIF(M64,"O")/2) )+ (COUNTIF(N64,"A") + (COUNTIF(N64,"T")/2) + (COUNTIF(N64,"O")/2) )+ (COUNTIF(O64,"A") + (COUNTIF(O64,"T")/2) + (COUNTIF(O64,"O")/2) )+ (COUNTIF(P64,"A") + (COUNTIF(P64,"T")/2) + (COUNTIF(P64,"O")/2) )+ (COUNTIF(Q64,"A") + (COUNTIF(Q64,"T")/2) + (COUNTIF(Q64,"O")/2) )+ (COUNTIF(R64,"A") + (COUNTIF(R64,"T")/2) + (COUNTIF(R64,"O")/2) )+ (COUNTIF(S64,"A") + (COUNTIF(S64,"T")/2) + (COUNTIF(S64,"O")/2) )+ (COUNTIF(#REF!,"A") + (COUNTIF(#REF!,"T")/2) + (COUNTIF(#REF!,"O")/2) )+ (COUNTIF(T64,"A") + (COUNTIF(T64,"T")/2) + (COUNTIF(T64,"O")/2) )+ (COUNTIF(U64,"A") + (COUNTIF(U64,"T")/2) + (COUNTIF(U64,"O")/2) )+ (COUNTIF(V64,"A") + (COUNTIF(V64,"T")/2) + (COUNTIF(V64,"O")/2) ) )/$X$1</f>
        <v>#REF!</v>
      </c>
      <c r="Y64" s="65" t="s">
        <v>245</v>
      </c>
      <c r="Z64" s="4"/>
      <c r="AA64" s="4"/>
      <c r="AB64" s="4"/>
      <c r="AC64" s="5"/>
    </row>
    <row r="65" ht="15.75" hidden="1" customHeight="1">
      <c r="A65" s="25">
        <f t="shared" si="1"/>
        <v>13</v>
      </c>
      <c r="B65" s="25">
        <f t="shared" si="7"/>
        <v>8</v>
      </c>
      <c r="C65" s="26" t="s">
        <v>54</v>
      </c>
      <c r="D65" s="27" t="s">
        <v>208</v>
      </c>
      <c r="E65" s="28" t="s">
        <v>41</v>
      </c>
      <c r="F65" s="28" t="s">
        <v>56</v>
      </c>
      <c r="G65" s="29" t="s">
        <v>71</v>
      </c>
      <c r="H65" s="30" t="s">
        <v>21</v>
      </c>
      <c r="I65" s="31" t="s">
        <v>95</v>
      </c>
      <c r="J65" s="32" t="s">
        <v>210</v>
      </c>
      <c r="K65" s="30"/>
      <c r="L65" s="30" t="s">
        <v>21</v>
      </c>
      <c r="M65" s="30" t="s">
        <v>21</v>
      </c>
      <c r="N65" s="30"/>
      <c r="O65" s="30" t="s">
        <v>21</v>
      </c>
      <c r="P65" s="30" t="s">
        <v>21</v>
      </c>
      <c r="Q65" s="30"/>
      <c r="R65" s="30" t="s">
        <v>24</v>
      </c>
      <c r="S65" s="30" t="s">
        <v>21</v>
      </c>
      <c r="T65" s="30"/>
      <c r="U65" s="30" t="s">
        <v>21</v>
      </c>
      <c r="V65" s="30"/>
      <c r="W65" s="30"/>
      <c r="X65" s="33" t="str">
        <f t="shared" si="8"/>
        <v>#REF!</v>
      </c>
      <c r="Y65" s="65" t="s">
        <v>246</v>
      </c>
      <c r="Z65" s="4"/>
      <c r="AA65" s="4"/>
      <c r="AB65" s="4"/>
      <c r="AC65" s="5"/>
    </row>
    <row r="66" ht="1.5" hidden="1" customHeight="1">
      <c r="A66" s="25">
        <f t="shared" si="1"/>
        <v>13</v>
      </c>
      <c r="B66" s="25">
        <f t="shared" si="7"/>
        <v>11</v>
      </c>
      <c r="C66" s="26" t="s">
        <v>79</v>
      </c>
      <c r="D66" s="27" t="s">
        <v>213</v>
      </c>
      <c r="E66" s="28" t="s">
        <v>19</v>
      </c>
      <c r="F66" s="28"/>
      <c r="G66" s="29" t="s">
        <v>49</v>
      </c>
      <c r="H66" s="42" t="s">
        <v>21</v>
      </c>
      <c r="I66" s="31" t="s">
        <v>95</v>
      </c>
      <c r="J66" s="32" t="s">
        <v>210</v>
      </c>
      <c r="K66" s="30"/>
      <c r="L66" s="42" t="s">
        <v>21</v>
      </c>
      <c r="M66" s="30" t="s">
        <v>21</v>
      </c>
      <c r="N66" s="30"/>
      <c r="O66" s="42" t="s">
        <v>21</v>
      </c>
      <c r="P66" s="30" t="s">
        <v>21</v>
      </c>
      <c r="Q66" s="30"/>
      <c r="R66" s="42" t="s">
        <v>24</v>
      </c>
      <c r="S66" s="30" t="s">
        <v>21</v>
      </c>
      <c r="T66" s="30"/>
      <c r="U66" s="42" t="s">
        <v>21</v>
      </c>
      <c r="V66" s="30"/>
      <c r="W66" s="42"/>
      <c r="X66" s="33" t="str">
        <f t="shared" si="8"/>
        <v>#REF!</v>
      </c>
      <c r="Y66" s="65"/>
      <c r="Z66" s="4"/>
      <c r="AA66" s="4"/>
      <c r="AB66" s="4"/>
      <c r="AC66" s="5"/>
    </row>
    <row r="67" ht="15.75" hidden="1" customHeight="1">
      <c r="A67" s="25">
        <f t="shared" si="1"/>
        <v>15</v>
      </c>
      <c r="B67" s="25">
        <f t="shared" si="7"/>
        <v>9</v>
      </c>
      <c r="C67" s="26" t="s">
        <v>64</v>
      </c>
      <c r="D67" s="27" t="s">
        <v>217</v>
      </c>
      <c r="E67" s="28" t="s">
        <v>61</v>
      </c>
      <c r="F67" s="28" t="s">
        <v>70</v>
      </c>
      <c r="G67" s="29" t="s">
        <v>20</v>
      </c>
      <c r="H67" s="30" t="s">
        <v>30</v>
      </c>
      <c r="I67" s="31"/>
      <c r="J67" s="32" t="s">
        <v>68</v>
      </c>
      <c r="K67" s="30" t="s">
        <v>30</v>
      </c>
      <c r="L67" s="30" t="s">
        <v>30</v>
      </c>
      <c r="M67" s="30" t="s">
        <v>30</v>
      </c>
      <c r="N67" s="30" t="s">
        <v>30</v>
      </c>
      <c r="O67" s="30" t="s">
        <v>30</v>
      </c>
      <c r="P67" s="30" t="s">
        <v>30</v>
      </c>
      <c r="Q67" s="30" t="s">
        <v>30</v>
      </c>
      <c r="R67" s="30" t="s">
        <v>30</v>
      </c>
      <c r="S67" s="30" t="s">
        <v>30</v>
      </c>
      <c r="T67" s="30" t="s">
        <v>30</v>
      </c>
      <c r="U67" s="30" t="s">
        <v>30</v>
      </c>
      <c r="V67" s="30" t="s">
        <v>30</v>
      </c>
      <c r="W67" s="30" t="s">
        <v>30</v>
      </c>
      <c r="X67" s="33" t="str">
        <f t="shared" si="8"/>
        <v>#REF!</v>
      </c>
      <c r="Y67" s="47"/>
      <c r="Z67" s="47"/>
      <c r="AA67" s="48"/>
      <c r="AB67" s="1"/>
      <c r="AC67" s="1"/>
    </row>
    <row r="68" ht="15.75" hidden="1" customHeight="1">
      <c r="A68" s="25">
        <f t="shared" si="1"/>
        <v>15</v>
      </c>
      <c r="B68" s="25">
        <f t="shared" si="7"/>
        <v>8</v>
      </c>
      <c r="C68" s="26" t="s">
        <v>54</v>
      </c>
      <c r="D68" s="27" t="s">
        <v>218</v>
      </c>
      <c r="E68" s="28" t="s">
        <v>41</v>
      </c>
      <c r="F68" s="28" t="s">
        <v>56</v>
      </c>
      <c r="G68" s="29" t="s">
        <v>71</v>
      </c>
      <c r="H68" s="30" t="s">
        <v>30</v>
      </c>
      <c r="I68" s="31"/>
      <c r="J68" s="32" t="s">
        <v>85</v>
      </c>
      <c r="K68" s="30" t="s">
        <v>30</v>
      </c>
      <c r="L68" s="30" t="s">
        <v>30</v>
      </c>
      <c r="M68" s="30" t="s">
        <v>30</v>
      </c>
      <c r="N68" s="30" t="s">
        <v>30</v>
      </c>
      <c r="O68" s="30" t="s">
        <v>30</v>
      </c>
      <c r="P68" s="30" t="s">
        <v>30</v>
      </c>
      <c r="Q68" s="30" t="s">
        <v>30</v>
      </c>
      <c r="R68" s="30" t="s">
        <v>30</v>
      </c>
      <c r="S68" s="30" t="s">
        <v>30</v>
      </c>
      <c r="T68" s="30" t="s">
        <v>30</v>
      </c>
      <c r="U68" s="30" t="s">
        <v>30</v>
      </c>
      <c r="V68" s="30" t="s">
        <v>30</v>
      </c>
      <c r="W68" s="30" t="s">
        <v>30</v>
      </c>
      <c r="X68" s="33" t="str">
        <f t="shared" si="8"/>
        <v>#REF!</v>
      </c>
      <c r="Y68" s="47"/>
      <c r="Z68" s="47"/>
      <c r="AA68" s="48"/>
      <c r="AB68" s="1"/>
      <c r="AC68" s="1"/>
    </row>
    <row r="69" ht="15.75" hidden="1" customHeight="1">
      <c r="A69" s="25">
        <f t="shared" si="1"/>
        <v>15</v>
      </c>
      <c r="B69" s="25">
        <f t="shared" si="7"/>
        <v>10</v>
      </c>
      <c r="C69" s="26" t="s">
        <v>84</v>
      </c>
      <c r="D69" s="27" t="s">
        <v>220</v>
      </c>
      <c r="E69" s="28" t="s">
        <v>19</v>
      </c>
      <c r="F69" s="28" t="s">
        <v>41</v>
      </c>
      <c r="G69" s="29" t="s">
        <v>49</v>
      </c>
      <c r="H69" s="30" t="s">
        <v>30</v>
      </c>
      <c r="I69" s="31"/>
      <c r="J69" s="32" t="s">
        <v>85</v>
      </c>
      <c r="K69" s="30" t="s">
        <v>30</v>
      </c>
      <c r="L69" s="30" t="s">
        <v>30</v>
      </c>
      <c r="M69" s="30" t="s">
        <v>30</v>
      </c>
      <c r="N69" s="30" t="s">
        <v>30</v>
      </c>
      <c r="O69" s="30" t="s">
        <v>30</v>
      </c>
      <c r="P69" s="30" t="s">
        <v>30</v>
      </c>
      <c r="Q69" s="30" t="s">
        <v>30</v>
      </c>
      <c r="R69" s="30" t="s">
        <v>30</v>
      </c>
      <c r="S69" s="30" t="s">
        <v>30</v>
      </c>
      <c r="T69" s="30" t="s">
        <v>30</v>
      </c>
      <c r="U69" s="30" t="s">
        <v>30</v>
      </c>
      <c r="V69" s="30" t="s">
        <v>30</v>
      </c>
      <c r="W69" s="30" t="s">
        <v>30</v>
      </c>
      <c r="X69" s="33" t="str">
        <f t="shared" si="8"/>
        <v>#REF!</v>
      </c>
      <c r="Y69" s="47"/>
      <c r="Z69" s="47"/>
      <c r="AA69" s="48"/>
      <c r="AB69" s="1"/>
      <c r="AC69" s="1"/>
    </row>
    <row r="70" ht="15.75" hidden="1" customHeight="1">
      <c r="A70" s="25">
        <f t="shared" si="1"/>
        <v>15</v>
      </c>
      <c r="B70" s="25">
        <f t="shared" si="7"/>
        <v>11</v>
      </c>
      <c r="C70" s="26" t="s">
        <v>79</v>
      </c>
      <c r="D70" s="27" t="s">
        <v>221</v>
      </c>
      <c r="E70" s="28" t="s">
        <v>19</v>
      </c>
      <c r="F70" s="28"/>
      <c r="G70" s="29" t="s">
        <v>62</v>
      </c>
      <c r="H70" s="30" t="s">
        <v>30</v>
      </c>
      <c r="I70" s="31"/>
      <c r="J70" s="32" t="s">
        <v>85</v>
      </c>
      <c r="K70" s="30" t="s">
        <v>30</v>
      </c>
      <c r="L70" s="30" t="s">
        <v>30</v>
      </c>
      <c r="M70" s="30" t="s">
        <v>30</v>
      </c>
      <c r="N70" s="30" t="s">
        <v>30</v>
      </c>
      <c r="O70" s="30" t="s">
        <v>30</v>
      </c>
      <c r="P70" s="30" t="s">
        <v>30</v>
      </c>
      <c r="Q70" s="30" t="s">
        <v>30</v>
      </c>
      <c r="R70" s="30" t="s">
        <v>30</v>
      </c>
      <c r="S70" s="30" t="s">
        <v>30</v>
      </c>
      <c r="T70" s="30" t="s">
        <v>30</v>
      </c>
      <c r="U70" s="30" t="s">
        <v>30</v>
      </c>
      <c r="V70" s="30" t="s">
        <v>30</v>
      </c>
      <c r="W70" s="30" t="s">
        <v>30</v>
      </c>
      <c r="X70" s="33" t="str">
        <f t="shared" si="8"/>
        <v>#REF!</v>
      </c>
      <c r="Y70" s="47"/>
      <c r="Z70" s="47"/>
      <c r="AA70" s="48"/>
      <c r="AB70" s="1"/>
      <c r="AC70" s="1"/>
    </row>
    <row r="71" ht="15.75" hidden="1" customHeight="1">
      <c r="A71" s="25">
        <f t="shared" si="1"/>
        <v>15</v>
      </c>
      <c r="B71" s="25">
        <f t="shared" si="7"/>
        <v>9</v>
      </c>
      <c r="C71" s="26" t="s">
        <v>64</v>
      </c>
      <c r="D71" s="27" t="s">
        <v>226</v>
      </c>
      <c r="E71" s="28" t="s">
        <v>56</v>
      </c>
      <c r="F71" s="28" t="s">
        <v>19</v>
      </c>
      <c r="G71" s="29" t="s">
        <v>227</v>
      </c>
      <c r="H71" s="30" t="s">
        <v>30</v>
      </c>
      <c r="I71" s="31"/>
      <c r="J71" s="32"/>
      <c r="K71" s="30" t="s">
        <v>30</v>
      </c>
      <c r="L71" s="30" t="s">
        <v>30</v>
      </c>
      <c r="M71" s="30" t="s">
        <v>30</v>
      </c>
      <c r="N71" s="30" t="s">
        <v>30</v>
      </c>
      <c r="O71" s="30" t="s">
        <v>30</v>
      </c>
      <c r="P71" s="30" t="s">
        <v>30</v>
      </c>
      <c r="Q71" s="30" t="s">
        <v>30</v>
      </c>
      <c r="R71" s="30" t="s">
        <v>30</v>
      </c>
      <c r="S71" s="30" t="s">
        <v>30</v>
      </c>
      <c r="T71" s="30" t="s">
        <v>30</v>
      </c>
      <c r="U71" s="30" t="s">
        <v>30</v>
      </c>
      <c r="V71" s="30" t="s">
        <v>30</v>
      </c>
      <c r="W71" s="30" t="s">
        <v>30</v>
      </c>
      <c r="X71" s="33" t="str">
        <f t="shared" si="8"/>
        <v>#REF!</v>
      </c>
      <c r="Y71" s="47"/>
      <c r="Z71" s="47"/>
      <c r="AA71" s="48"/>
      <c r="AB71" s="1"/>
      <c r="AC71" s="1"/>
    </row>
    <row r="72" ht="15.75" hidden="1" customHeight="1">
      <c r="A72" s="25">
        <f t="shared" si="1"/>
        <v>15</v>
      </c>
      <c r="B72" s="25">
        <f t="shared" si="7"/>
        <v>10</v>
      </c>
      <c r="C72" s="26" t="s">
        <v>84</v>
      </c>
      <c r="D72" s="27" t="s">
        <v>228</v>
      </c>
      <c r="E72" s="28" t="s">
        <v>61</v>
      </c>
      <c r="F72" s="28" t="s">
        <v>19</v>
      </c>
      <c r="G72" s="29" t="s">
        <v>71</v>
      </c>
      <c r="H72" s="30" t="s">
        <v>30</v>
      </c>
      <c r="I72" s="31"/>
      <c r="J72" s="32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3" t="str">
        <f t="shared" si="8"/>
        <v>#REF!</v>
      </c>
      <c r="Y72" s="47"/>
      <c r="Z72" s="47"/>
      <c r="AA72" s="48"/>
      <c r="AB72" s="1"/>
      <c r="AC72" s="1"/>
    </row>
    <row r="73" ht="15.75" hidden="1" customHeight="1">
      <c r="A73" s="25">
        <f t="shared" si="1"/>
        <v>15</v>
      </c>
      <c r="B73" s="25">
        <f t="shared" si="7"/>
        <v>15</v>
      </c>
      <c r="C73" s="26"/>
      <c r="D73" s="27"/>
      <c r="E73" s="28"/>
      <c r="F73" s="28"/>
      <c r="G73" s="29"/>
      <c r="H73" s="30"/>
      <c r="I73" s="31"/>
      <c r="J73" s="32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3" t="str">
        <f t="shared" si="8"/>
        <v>#REF!</v>
      </c>
      <c r="Y73" s="47"/>
      <c r="Z73" s="47"/>
      <c r="AA73" s="48"/>
      <c r="AB73" s="1"/>
      <c r="AC73" s="1"/>
    </row>
    <row r="74" ht="15.75" hidden="1" customHeight="1">
      <c r="A74" s="25">
        <f t="shared" si="1"/>
        <v>15</v>
      </c>
      <c r="B74" s="25">
        <f t="shared" si="7"/>
        <v>15</v>
      </c>
      <c r="C74" s="26"/>
      <c r="D74" s="27"/>
      <c r="E74" s="28"/>
      <c r="F74" s="28"/>
      <c r="G74" s="29"/>
      <c r="H74" s="30"/>
      <c r="I74" s="31"/>
      <c r="J74" s="32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3" t="str">
        <f t="shared" si="8"/>
        <v>#REF!</v>
      </c>
      <c r="Y74" s="47"/>
      <c r="Z74" s="47"/>
      <c r="AA74" s="48"/>
      <c r="AB74" s="1"/>
      <c r="AC74" s="1"/>
    </row>
    <row r="75" ht="15.75" hidden="1" customHeight="1">
      <c r="A75" s="25">
        <f t="shared" si="1"/>
        <v>15</v>
      </c>
      <c r="B75" s="25">
        <f t="shared" si="7"/>
        <v>15</v>
      </c>
      <c r="C75" s="26"/>
      <c r="D75" s="27"/>
      <c r="E75" s="28"/>
      <c r="F75" s="28"/>
      <c r="G75" s="29"/>
      <c r="H75" s="30"/>
      <c r="I75" s="31"/>
      <c r="J75" s="32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3" t="str">
        <f t="shared" si="8"/>
        <v>#REF!</v>
      </c>
      <c r="Y75" s="47"/>
      <c r="Z75" s="47"/>
      <c r="AA75" s="48"/>
      <c r="AB75" s="1"/>
      <c r="AC75" s="1"/>
    </row>
    <row r="76" ht="15.75" hidden="1" customHeight="1">
      <c r="A76" s="25">
        <f t="shared" si="1"/>
        <v>15</v>
      </c>
      <c r="B76" s="25">
        <f t="shared" si="7"/>
        <v>15</v>
      </c>
      <c r="C76" s="26"/>
      <c r="D76" s="27"/>
      <c r="E76" s="28"/>
      <c r="F76" s="28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3" t="str">
        <f t="shared" si="8"/>
        <v>#REF!</v>
      </c>
      <c r="Y76" s="47"/>
      <c r="Z76" s="47"/>
      <c r="AA76" s="48"/>
      <c r="AB76" s="1"/>
      <c r="AC76" s="1"/>
    </row>
    <row r="77" ht="15.75" hidden="1" customHeight="1">
      <c r="A77" s="25">
        <f t="shared" si="1"/>
        <v>15</v>
      </c>
      <c r="B77" s="25">
        <f t="shared" si="7"/>
        <v>15</v>
      </c>
      <c r="C77" s="26"/>
      <c r="D77" s="27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3" t="str">
        <f t="shared" si="8"/>
        <v>#REF!</v>
      </c>
      <c r="Y77" s="47"/>
      <c r="Z77" s="47"/>
      <c r="AA77" s="48"/>
      <c r="AB77" s="1"/>
      <c r="AC77" s="1"/>
    </row>
    <row r="78" ht="15.75" hidden="1" customHeight="1">
      <c r="A78" s="25">
        <f t="shared" si="1"/>
        <v>15</v>
      </c>
      <c r="B78" s="25">
        <f t="shared" si="7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3" t="str">
        <f t="shared" si="8"/>
        <v>#REF!</v>
      </c>
      <c r="Y78" s="47"/>
      <c r="Z78" s="47"/>
      <c r="AA78" s="48"/>
      <c r="AB78" s="1"/>
      <c r="AC78" s="1"/>
    </row>
    <row r="79" ht="15.75" hidden="1" customHeight="1">
      <c r="A79" s="25">
        <f t="shared" si="1"/>
        <v>15</v>
      </c>
      <c r="B79" s="25">
        <f t="shared" si="7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3" t="str">
        <f t="shared" si="8"/>
        <v>#REF!</v>
      </c>
      <c r="Y79" s="47"/>
      <c r="Z79" s="47"/>
      <c r="AA79" s="48"/>
      <c r="AB79" s="1"/>
      <c r="AC79" s="1"/>
    </row>
    <row r="80" ht="15.75" hidden="1" customHeight="1">
      <c r="A80" s="25">
        <f t="shared" si="1"/>
        <v>15</v>
      </c>
      <c r="B80" s="25">
        <f t="shared" si="7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3" t="str">
        <f t="shared" si="8"/>
        <v>#REF!</v>
      </c>
      <c r="Y80" s="47"/>
      <c r="Z80" s="47"/>
      <c r="AA80" s="48"/>
      <c r="AB80" s="1"/>
      <c r="AC80" s="1"/>
    </row>
    <row r="81" ht="15.75" hidden="1" customHeight="1">
      <c r="A81" s="25">
        <f t="shared" si="1"/>
        <v>15</v>
      </c>
      <c r="B81" s="25">
        <f t="shared" si="7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3" t="str">
        <f t="shared" si="8"/>
        <v>#REF!</v>
      </c>
      <c r="Y81" s="47"/>
      <c r="Z81" s="47"/>
      <c r="AA81" s="48"/>
      <c r="AB81" s="1"/>
      <c r="AC81" s="1"/>
    </row>
    <row r="82" ht="15.75" hidden="1" customHeight="1">
      <c r="A82" s="25">
        <f t="shared" si="1"/>
        <v>15</v>
      </c>
      <c r="B82" s="25">
        <f t="shared" si="7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3" t="str">
        <f t="shared" si="8"/>
        <v>#REF!</v>
      </c>
      <c r="Y82" s="47"/>
      <c r="Z82" s="47"/>
      <c r="AA82" s="48"/>
      <c r="AB82" s="1"/>
      <c r="AC82" s="1"/>
    </row>
    <row r="83" ht="15.75" hidden="1" customHeight="1">
      <c r="A83" s="25">
        <f t="shared" si="1"/>
        <v>15</v>
      </c>
      <c r="B83" s="25">
        <f t="shared" si="7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3" t="str">
        <f t="shared" si="8"/>
        <v>#REF!</v>
      </c>
      <c r="Y83" s="47"/>
      <c r="Z83" s="47"/>
      <c r="AA83" s="48"/>
      <c r="AB83" s="1"/>
      <c r="AC83" s="1"/>
    </row>
    <row r="84" ht="15.75" hidden="1" customHeight="1">
      <c r="A84" s="25">
        <f t="shared" si="1"/>
        <v>15</v>
      </c>
      <c r="B84" s="25">
        <f t="shared" si="7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3" t="str">
        <f t="shared" si="8"/>
        <v>#REF!</v>
      </c>
      <c r="Y84" s="47"/>
      <c r="Z84" s="47"/>
      <c r="AA84" s="48"/>
      <c r="AB84" s="1"/>
      <c r="AC84" s="1"/>
    </row>
    <row r="85" ht="15.75" hidden="1" customHeight="1">
      <c r="A85" s="25">
        <f t="shared" si="1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3" t="str">
        <f t="shared" si="8"/>
        <v>#REF!</v>
      </c>
      <c r="Y85" s="47"/>
      <c r="Z85" s="47"/>
      <c r="AA85" s="48"/>
      <c r="AB85" s="1"/>
      <c r="AC85" s="1"/>
    </row>
    <row r="86" ht="15.75" hidden="1" customHeight="1">
      <c r="A86" s="25">
        <f t="shared" si="1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3" t="str">
        <f t="shared" si="8"/>
        <v>#REF!</v>
      </c>
      <c r="Y86" s="47"/>
      <c r="Z86" s="47"/>
      <c r="AA86" s="48"/>
      <c r="AB86" s="1"/>
      <c r="AC86" s="1"/>
    </row>
    <row r="87" ht="15.75" hidden="1" customHeight="1">
      <c r="A87" s="25">
        <f t="shared" si="1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3" t="str">
        <f t="shared" si="8"/>
        <v>#REF!</v>
      </c>
      <c r="Y87" s="47"/>
      <c r="Z87" s="47"/>
      <c r="AA87" s="48"/>
      <c r="AB87" s="1"/>
      <c r="AC87" s="1"/>
    </row>
    <row r="88" ht="15.75" hidden="1" customHeight="1">
      <c r="A88" s="25">
        <f t="shared" si="1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3" t="str">
        <f t="shared" si="8"/>
        <v>#REF!</v>
      </c>
      <c r="Y88" s="47"/>
      <c r="Z88" s="47"/>
      <c r="AA88" s="48"/>
      <c r="AB88" s="1"/>
      <c r="AC88" s="1"/>
    </row>
    <row r="89" ht="15.75" hidden="1" customHeight="1">
      <c r="A89" s="25">
        <f t="shared" si="1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3" t="str">
        <f t="shared" si="8"/>
        <v>#REF!</v>
      </c>
      <c r="Y89" s="47"/>
      <c r="Z89" s="47"/>
      <c r="AA89" s="48"/>
      <c r="AB89" s="1"/>
      <c r="AC89" s="1"/>
    </row>
    <row r="90" ht="15.75" hidden="1" customHeight="1">
      <c r="A90" s="25">
        <f t="shared" si="1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3" t="str">
        <f t="shared" si="8"/>
        <v>#REF!</v>
      </c>
      <c r="Y90" s="47"/>
      <c r="Z90" s="47"/>
      <c r="AA90" s="48"/>
      <c r="AB90" s="1"/>
      <c r="AC90" s="1"/>
    </row>
    <row r="91" ht="15.75" hidden="1" customHeight="1">
      <c r="A91" s="25">
        <f t="shared" si="1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3" t="str">
        <f t="shared" si="8"/>
        <v>#REF!</v>
      </c>
      <c r="Y91" s="47"/>
      <c r="Z91" s="47"/>
      <c r="AA91" s="48"/>
      <c r="AB91" s="1"/>
      <c r="AC91" s="1"/>
    </row>
    <row r="92" ht="15.75" hidden="1" customHeight="1">
      <c r="A92" s="25">
        <f t="shared" si="1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3" t="str">
        <f t="shared" si="8"/>
        <v>#REF!</v>
      </c>
      <c r="Y92" s="47"/>
      <c r="Z92" s="47"/>
      <c r="AA92" s="48"/>
      <c r="AB92" s="1"/>
      <c r="AC92" s="1"/>
    </row>
    <row r="93" ht="15.75" hidden="1" customHeight="1">
      <c r="A93" s="25">
        <f t="shared" si="1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3" t="str">
        <f t="shared" si="8"/>
        <v>#REF!</v>
      </c>
      <c r="Y93" s="47"/>
      <c r="Z93" s="47"/>
      <c r="AA93" s="48"/>
      <c r="AB93" s="1"/>
      <c r="AC93" s="1"/>
    </row>
    <row r="94" ht="15.75" hidden="1" customHeight="1">
      <c r="A94" s="25">
        <f t="shared" si="1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3" t="str">
        <f t="shared" si="8"/>
        <v>#REF!</v>
      </c>
      <c r="Y94" s="47"/>
      <c r="Z94" s="47"/>
      <c r="AA94" s="48"/>
      <c r="AB94" s="1"/>
      <c r="AC94" s="1"/>
    </row>
    <row r="95" ht="15.75" hidden="1" customHeight="1">
      <c r="A95" s="25">
        <f t="shared" si="1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3" t="str">
        <f t="shared" si="8"/>
        <v>#REF!</v>
      </c>
      <c r="Y95" s="47"/>
      <c r="Z95" s="47"/>
      <c r="AA95" s="48"/>
      <c r="AB95" s="1"/>
      <c r="AC95" s="1"/>
    </row>
    <row r="96" ht="15.75" hidden="1" customHeight="1">
      <c r="A96" s="25">
        <f t="shared" si="1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3" t="str">
        <f t="shared" si="8"/>
        <v>#REF!</v>
      </c>
      <c r="Y96" s="47"/>
      <c r="Z96" s="47"/>
      <c r="AA96" s="48"/>
      <c r="AB96" s="1"/>
      <c r="AC96" s="1"/>
    </row>
    <row r="97" ht="15.75" hidden="1" customHeight="1">
      <c r="A97" s="25">
        <f t="shared" si="1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3" t="str">
        <f t="shared" si="8"/>
        <v>#REF!</v>
      </c>
      <c r="Y97" s="47"/>
      <c r="Z97" s="47"/>
      <c r="AA97" s="48"/>
      <c r="AB97" s="1"/>
      <c r="AC97" s="1"/>
    </row>
    <row r="98" ht="15.75" hidden="1" customHeight="1">
      <c r="A98" s="25">
        <f t="shared" si="1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3" t="str">
        <f t="shared" si="8"/>
        <v>#REF!</v>
      </c>
      <c r="Y98" s="47"/>
      <c r="Z98" s="47"/>
      <c r="AA98" s="48"/>
      <c r="AB98" s="1"/>
      <c r="AC98" s="1"/>
    </row>
    <row r="99" ht="15.75" customHeight="1">
      <c r="A99" s="69"/>
      <c r="B99" s="69"/>
      <c r="C99" s="2"/>
      <c r="D99" s="47"/>
      <c r="E99" s="70"/>
      <c r="F99" s="70"/>
      <c r="G99" s="70"/>
      <c r="H99" s="70"/>
      <c r="I99" s="44"/>
      <c r="J99" s="71" t="s">
        <v>229</v>
      </c>
      <c r="K99" s="72">
        <f t="shared" ref="K99:W99" si="9">SUM(COUNTIF(K3:K98,"A") + COUNTIF(K3:K98,"T") + (COUNTIF(K3:K98,"O")/2))</f>
        <v>0</v>
      </c>
      <c r="L99" s="72">
        <f t="shared" si="9"/>
        <v>33</v>
      </c>
      <c r="M99" s="72">
        <f t="shared" si="9"/>
        <v>39</v>
      </c>
      <c r="N99" s="72">
        <f t="shared" si="9"/>
        <v>0</v>
      </c>
      <c r="O99" s="72">
        <f t="shared" si="9"/>
        <v>27</v>
      </c>
      <c r="P99" s="72">
        <f t="shared" si="9"/>
        <v>34</v>
      </c>
      <c r="Q99" s="72">
        <f t="shared" si="9"/>
        <v>0</v>
      </c>
      <c r="R99" s="72">
        <f t="shared" si="9"/>
        <v>27</v>
      </c>
      <c r="S99" s="72">
        <f t="shared" si="9"/>
        <v>26</v>
      </c>
      <c r="T99" s="72">
        <f t="shared" si="9"/>
        <v>0</v>
      </c>
      <c r="U99" s="72">
        <f t="shared" si="9"/>
        <v>30</v>
      </c>
      <c r="V99" s="72">
        <f t="shared" si="9"/>
        <v>21</v>
      </c>
      <c r="W99" s="72">
        <f t="shared" si="9"/>
        <v>0</v>
      </c>
      <c r="X99" s="73">
        <f t="shared" ref="X99:X102" si="11">AVERAGE(L99,M99,O99,P99,R99,S99,U99,V99)</f>
        <v>29.625</v>
      </c>
      <c r="Y99" s="74" t="s">
        <v>230</v>
      </c>
      <c r="Z99" s="42"/>
      <c r="AA99" s="47"/>
      <c r="AB99" s="47"/>
      <c r="AC99" s="47"/>
    </row>
    <row r="100" ht="15.75" customHeight="1">
      <c r="A100" s="69"/>
      <c r="B100" s="69"/>
      <c r="C100" s="2"/>
      <c r="D100" s="47"/>
      <c r="E100" s="70"/>
      <c r="F100" s="70"/>
      <c r="G100" s="70"/>
      <c r="H100" s="70"/>
      <c r="I100" s="44"/>
      <c r="J100" s="75" t="s">
        <v>231</v>
      </c>
      <c r="K100" s="76">
        <f t="shared" ref="K100:W100" si="10">SUM(COUNTIF(K3:K98,"J"))</f>
        <v>0</v>
      </c>
      <c r="L100" s="76">
        <f t="shared" si="10"/>
        <v>11</v>
      </c>
      <c r="M100" s="76">
        <f t="shared" si="10"/>
        <v>5</v>
      </c>
      <c r="N100" s="76">
        <f t="shared" si="10"/>
        <v>0</v>
      </c>
      <c r="O100" s="76">
        <f t="shared" si="10"/>
        <v>15</v>
      </c>
      <c r="P100" s="76">
        <f t="shared" si="10"/>
        <v>9</v>
      </c>
      <c r="Q100" s="76">
        <f t="shared" si="10"/>
        <v>0</v>
      </c>
      <c r="R100" s="76">
        <f t="shared" si="10"/>
        <v>16</v>
      </c>
      <c r="S100" s="76">
        <f t="shared" si="10"/>
        <v>16</v>
      </c>
      <c r="T100" s="76">
        <f t="shared" si="10"/>
        <v>0</v>
      </c>
      <c r="U100" s="76">
        <f t="shared" si="10"/>
        <v>11</v>
      </c>
      <c r="V100" s="76">
        <f t="shared" si="10"/>
        <v>13</v>
      </c>
      <c r="W100" s="76">
        <f t="shared" si="10"/>
        <v>0</v>
      </c>
      <c r="X100" s="89">
        <f t="shared" si="11"/>
        <v>12</v>
      </c>
      <c r="Y100" s="74" t="s">
        <v>232</v>
      </c>
      <c r="Z100" s="42"/>
      <c r="AA100" s="47"/>
      <c r="AB100" s="47"/>
      <c r="AC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8" t="s">
        <v>233</v>
      </c>
      <c r="K101" s="79">
        <f t="shared" ref="K101:W101" si="12">SUM(COUNTIF(K3:K98,"F"))</f>
        <v>0</v>
      </c>
      <c r="L101" s="79">
        <f t="shared" si="12"/>
        <v>4</v>
      </c>
      <c r="M101" s="79">
        <f t="shared" si="12"/>
        <v>3</v>
      </c>
      <c r="N101" s="79">
        <f t="shared" si="12"/>
        <v>0</v>
      </c>
      <c r="O101" s="79">
        <f t="shared" si="12"/>
        <v>3</v>
      </c>
      <c r="P101" s="79">
        <f t="shared" si="12"/>
        <v>1</v>
      </c>
      <c r="Q101" s="79">
        <f t="shared" si="12"/>
        <v>0</v>
      </c>
      <c r="R101" s="79">
        <f t="shared" si="12"/>
        <v>0</v>
      </c>
      <c r="S101" s="79">
        <f t="shared" si="12"/>
        <v>0</v>
      </c>
      <c r="T101" s="79">
        <f t="shared" si="12"/>
        <v>0</v>
      </c>
      <c r="U101" s="79">
        <f t="shared" si="12"/>
        <v>0</v>
      </c>
      <c r="V101" s="79">
        <f t="shared" si="12"/>
        <v>1</v>
      </c>
      <c r="W101" s="79">
        <f t="shared" si="12"/>
        <v>0</v>
      </c>
      <c r="X101" s="80">
        <f t="shared" si="11"/>
        <v>1.5</v>
      </c>
      <c r="Y101" s="81" t="s">
        <v>234</v>
      </c>
      <c r="Z101" s="5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82" t="s">
        <v>235</v>
      </c>
      <c r="K102" s="83"/>
      <c r="L102" s="84">
        <f t="shared" ref="L102:M102" si="13">(COUNTIF(L3:L98,"A") + COUNTIF(L3:L98,"T") + COUNTIF(L3:L98,"F") + COUNTIF(L3:L98,"J"))</f>
        <v>48</v>
      </c>
      <c r="M102" s="84">
        <f t="shared" si="13"/>
        <v>47</v>
      </c>
      <c r="N102" s="83"/>
      <c r="O102" s="84">
        <f t="shared" ref="O102:P102" si="14">(COUNTIF(O3:O98,"A") + COUNTIF(O3:O98,"T") + COUNTIF(O3:O98,"F") + COUNTIF(O3:O98,"J"))</f>
        <v>45</v>
      </c>
      <c r="P102" s="84">
        <f t="shared" si="14"/>
        <v>44</v>
      </c>
      <c r="Q102" s="83"/>
      <c r="R102" s="84">
        <f t="shared" ref="R102:S102" si="15">(COUNTIF(R3:R98,"A") + COUNTIF(R3:R98,"T") + COUNTIF(R3:R98,"F") + COUNTIF(R3:R98,"J"))</f>
        <v>43</v>
      </c>
      <c r="S102" s="84">
        <f t="shared" si="15"/>
        <v>42</v>
      </c>
      <c r="T102" s="83"/>
      <c r="U102" s="84">
        <f t="shared" ref="U102:V102" si="16">(COUNTIF(U3:U98,"A") + COUNTIF(U3:U98,"T") + COUNTIF(U3:U98,"F") + COUNTIF(U3:U98,"J"))</f>
        <v>41</v>
      </c>
      <c r="V102" s="84">
        <f t="shared" si="16"/>
        <v>35</v>
      </c>
      <c r="W102" s="83"/>
      <c r="X102" s="85">
        <f t="shared" si="11"/>
        <v>43.125</v>
      </c>
      <c r="Y102" s="81" t="s">
        <v>236</v>
      </c>
      <c r="Z102" s="5"/>
      <c r="AA102" s="47"/>
      <c r="AB102" s="47"/>
      <c r="AC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8">
    <filterColumn colId="8">
      <customFilters>
        <customFilter val="1° P - 1°M"/>
      </customFilters>
    </filterColumn>
  </autoFilter>
  <mergeCells count="37">
    <mergeCell ref="C1:I1"/>
    <mergeCell ref="K1:W1"/>
    <mergeCell ref="Y1:Z1"/>
    <mergeCell ref="AA1:AC1"/>
    <mergeCell ref="Z3:AC3"/>
    <mergeCell ref="Z4:AC4"/>
    <mergeCell ref="Z5:AC5"/>
    <mergeCell ref="Z6:AC6"/>
    <mergeCell ref="Z7:AC7"/>
    <mergeCell ref="Z8:AC8"/>
    <mergeCell ref="Z9:AC9"/>
    <mergeCell ref="Z10:AC10"/>
    <mergeCell ref="Y43:Z43"/>
    <mergeCell ref="AB43:AC43"/>
    <mergeCell ref="Y44:Z44"/>
    <mergeCell ref="Y45:Z45"/>
    <mergeCell ref="Y46:Z46"/>
    <mergeCell ref="Y47:Z47"/>
    <mergeCell ref="Y48:Z48"/>
    <mergeCell ref="Y49:Z49"/>
    <mergeCell ref="Y50:Z50"/>
    <mergeCell ref="Y60:AC60"/>
    <mergeCell ref="Y61:AC61"/>
    <mergeCell ref="Y62:AC62"/>
    <mergeCell ref="Y63:AC63"/>
    <mergeCell ref="Y64:AC64"/>
    <mergeCell ref="Y65:AC65"/>
    <mergeCell ref="Y66:AC66"/>
    <mergeCell ref="Y101:Z101"/>
    <mergeCell ref="Y102:Z102"/>
    <mergeCell ref="Y51:Z51"/>
    <mergeCell ref="Y52:Z52"/>
    <mergeCell ref="Y53:Z53"/>
    <mergeCell ref="Y54:Z54"/>
    <mergeCell ref="Y55:Z55"/>
    <mergeCell ref="Y56:Z56"/>
    <mergeCell ref="Y57:Z57"/>
  </mergeCells>
  <conditionalFormatting sqref="H68:H73 K68:X73">
    <cfRule type="cellIs" dxfId="0" priority="1" operator="equal">
      <formula>"NP"</formula>
    </cfRule>
  </conditionalFormatting>
  <conditionalFormatting sqref="H3:H65 K3:W65 Y3:Y10 H66:H98 K66:W98">
    <cfRule type="cellIs" dxfId="0" priority="2" operator="equal">
      <formula>"NP"</formula>
    </cfRule>
  </conditionalFormatting>
  <conditionalFormatting sqref="AB45:AB46 AC45 AB49:AB51">
    <cfRule type="containsText" dxfId="1" priority="3" operator="containsText" text="Si">
      <formula>NOT(ISERROR(SEARCH(("Si"),(AB45))))</formula>
    </cfRule>
  </conditionalFormatting>
  <conditionalFormatting sqref="H3:H65 K3:W65 Y3:Y10 H66:H98 K66:W98 X68:X73">
    <cfRule type="containsText" dxfId="2" priority="4" operator="containsText" text="A">
      <formula>NOT(ISERROR(SEARCH(("A"),(H3))))</formula>
    </cfRule>
  </conditionalFormatting>
  <conditionalFormatting sqref="H3:H65 K3:W65 Y3:Y10 H66:H98 K66:W98 X68:X73">
    <cfRule type="containsText" dxfId="3" priority="5" operator="containsText" text="F">
      <formula>NOT(ISERROR(SEARCH(("F"),(H3))))</formula>
    </cfRule>
  </conditionalFormatting>
  <conditionalFormatting sqref="H3:H65 K3:W65 Y3:Y10 H66:H98 K66:W98 X68:X73">
    <cfRule type="containsText" dxfId="4" priority="6" operator="containsText" text="J">
      <formula>NOT(ISERROR(SEARCH(("J"),(H3))))</formula>
    </cfRule>
  </conditionalFormatting>
  <conditionalFormatting sqref="H3:H65 K3:W65 Y3:Y10 H66:H98 K66:W98 X68:X73">
    <cfRule type="containsText" dxfId="5" priority="7" operator="containsText" text="R">
      <formula>NOT(ISERROR(SEARCH(("R"),(H3))))</formula>
    </cfRule>
  </conditionalFormatting>
  <conditionalFormatting sqref="H3:H65 K3:W65 Y3:Y10 H66:H98 K66:W98 X68:X73">
    <cfRule type="containsText" dxfId="6" priority="8" operator="containsText" text="L">
      <formula>NOT(ISERROR(SEARCH(("L"),(H3))))</formula>
    </cfRule>
  </conditionalFormatting>
  <conditionalFormatting sqref="AA24 AA26 AA45:AA57 AA67:AA98">
    <cfRule type="expression" dxfId="7" priority="9">
      <formula>AND(ISNUMBER(AA24),TRUNC(AA24)&lt;TODAY())</formula>
    </cfRule>
  </conditionalFormatting>
  <conditionalFormatting sqref="AA24 AA26 AA45:AA57 AA67:AA98">
    <cfRule type="expression" dxfId="8" priority="10">
      <formula>AND(ISNUMBER(AA24),TRUNC(AA24)&gt;TODAY())</formula>
    </cfRule>
  </conditionalFormatting>
  <conditionalFormatting sqref="AA24 AA26 AA45:AA57 AA67:AA98">
    <cfRule type="timePeriod" dxfId="9" priority="11" timePeriod="today"/>
  </conditionalFormatting>
  <conditionalFormatting sqref="AB45:AC57 AB67:AC98">
    <cfRule type="containsText" dxfId="7" priority="12" operator="containsText" text="No">
      <formula>NOT(ISERROR(SEARCH(("No"),(AB45))))</formula>
    </cfRule>
  </conditionalFormatting>
  <conditionalFormatting sqref="H3:H65 K3:W65 Y3:Y10 H66:H98 K66:W98 X68:X73">
    <cfRule type="containsText" dxfId="10" priority="13" operator="containsText" text="T">
      <formula>NOT(ISERROR(SEARCH(("T"),(H3))))</formula>
    </cfRule>
  </conditionalFormatting>
  <conditionalFormatting sqref="AB45:AC57 AB67:AC98">
    <cfRule type="containsText" dxfId="1" priority="14" operator="containsText" text="Sí">
      <formula>NOT(ISERROR(SEARCH(("Sí"),(AB45))))</formula>
    </cfRule>
  </conditionalFormatting>
  <conditionalFormatting sqref="H3:H65 K3:W65 Y3:Y10 H66:H98 K66:W98 X68:X73">
    <cfRule type="containsText" dxfId="11" priority="15" operator="containsText" text="O">
      <formula>NOT(ISERROR(SEARCH(("O"),(H3))))</formula>
    </cfRule>
  </conditionalFormatting>
  <conditionalFormatting sqref="K102:W102">
    <cfRule type="cellIs" dxfId="1" priority="16" operator="equal">
      <formula>"OK"</formula>
    </cfRule>
  </conditionalFormatting>
  <conditionalFormatting sqref="K102:W102">
    <cfRule type="cellIs" dxfId="7" priority="17" operator="equal">
      <formula>"NO"</formula>
    </cfRule>
  </conditionalFormatting>
  <conditionalFormatting sqref="X3:X65 X66:X98">
    <cfRule type="cellIs" dxfId="2" priority="18" operator="greaterThanOrEqual">
      <formula>"75%"</formula>
    </cfRule>
  </conditionalFormatting>
  <conditionalFormatting sqref="X3:X65 X66:X98">
    <cfRule type="cellIs" dxfId="12" priority="19" operator="lessThan">
      <formula>"50%"</formula>
    </cfRule>
  </conditionalFormatting>
  <conditionalFormatting sqref="H3:H65 K3:W65 H66:H98 K66:W98">
    <cfRule type="expression" dxfId="13" priority="20">
      <formula>LEN(TRIM(H3))=0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K3:W56 K57 M57:W57 K58:W61 K62:O62 Q62:W62 K63:W98">
      <formula1>"A,J,T,F,O,L,R,NP"</formula1>
    </dataValidation>
  </dataValidations>
  <hyperlinks>
    <hyperlink display="Licencia - ver Licencias" location="Julio!X42:AB56" ref="Z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0.86"/>
    <col customWidth="1" min="11" max="11" width="7.57"/>
    <col customWidth="1" min="12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238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9.0</v>
      </c>
      <c r="Y1" s="10" t="s">
        <v>6</v>
      </c>
      <c r="Z1" s="5"/>
      <c r="AA1" s="11" t="s">
        <v>7</v>
      </c>
      <c r="AB1" s="7"/>
      <c r="AC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8">
        <v>43314.0</v>
      </c>
      <c r="L2" s="19">
        <v>43317.0</v>
      </c>
      <c r="M2" s="18">
        <v>43319.0</v>
      </c>
      <c r="N2" s="18">
        <v>43321.0</v>
      </c>
      <c r="O2" s="19">
        <v>43324.0</v>
      </c>
      <c r="P2" s="20">
        <v>43326.0</v>
      </c>
      <c r="Q2" s="20">
        <v>43328.0</v>
      </c>
      <c r="R2" s="19">
        <v>43331.0</v>
      </c>
      <c r="S2" s="20">
        <v>43333.0</v>
      </c>
      <c r="T2" s="20">
        <v>43335.0</v>
      </c>
      <c r="U2" s="19">
        <v>43338.0</v>
      </c>
      <c r="V2" s="20">
        <v>43340.0</v>
      </c>
      <c r="W2" s="20">
        <v>43342.0</v>
      </c>
      <c r="X2" s="21" t="s">
        <v>16</v>
      </c>
      <c r="Y2" s="22"/>
      <c r="Z2" s="22"/>
      <c r="AA2" s="23"/>
      <c r="AB2" s="24"/>
      <c r="AC2" s="22"/>
    </row>
    <row r="3" ht="15.75" customHeight="1">
      <c r="A3" s="25">
        <f t="shared" ref="A3:A9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1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35</v>
      </c>
      <c r="E3" s="28" t="s">
        <v>19</v>
      </c>
      <c r="F3" s="28"/>
      <c r="G3" s="29" t="s">
        <v>20</v>
      </c>
      <c r="H3" s="30" t="s">
        <v>30</v>
      </c>
      <c r="I3" s="31" t="s">
        <v>22</v>
      </c>
      <c r="J3" s="32" t="s">
        <v>23</v>
      </c>
      <c r="K3" s="30" t="s">
        <v>30</v>
      </c>
      <c r="L3" s="30" t="s">
        <v>30</v>
      </c>
      <c r="M3" s="30" t="s">
        <v>30</v>
      </c>
      <c r="N3" s="30" t="s">
        <v>21</v>
      </c>
      <c r="O3" s="30" t="s">
        <v>30</v>
      </c>
      <c r="P3" s="30" t="s">
        <v>30</v>
      </c>
      <c r="Q3" s="30" t="s">
        <v>21</v>
      </c>
      <c r="R3" s="30" t="s">
        <v>30</v>
      </c>
      <c r="S3" s="30" t="s">
        <v>21</v>
      </c>
      <c r="T3" s="30" t="s">
        <v>30</v>
      </c>
      <c r="U3" s="30" t="s">
        <v>30</v>
      </c>
      <c r="V3" s="30" t="s">
        <v>30</v>
      </c>
      <c r="W3" s="30" t="s">
        <v>21</v>
      </c>
      <c r="X3" s="33" t="str">
        <f t="shared" ref="X3:X7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)/$X$1</f>
        <v>#REF!</v>
      </c>
      <c r="Y3" s="34" t="s">
        <v>21</v>
      </c>
      <c r="Z3" s="35" t="s">
        <v>25</v>
      </c>
      <c r="AA3" s="36"/>
      <c r="AB3" s="36"/>
      <c r="AC3" s="37"/>
    </row>
    <row r="4" ht="15.75" customHeight="1">
      <c r="A4" s="25">
        <f t="shared" si="1"/>
        <v>1</v>
      </c>
      <c r="B4" s="25">
        <f t="shared" si="2"/>
        <v>1</v>
      </c>
      <c r="C4" s="26" t="s">
        <v>17</v>
      </c>
      <c r="D4" s="27" t="s">
        <v>18</v>
      </c>
      <c r="E4" s="28" t="s">
        <v>19</v>
      </c>
      <c r="F4" s="28"/>
      <c r="G4" s="29" t="s">
        <v>20</v>
      </c>
      <c r="H4" s="30" t="s">
        <v>21</v>
      </c>
      <c r="I4" s="31" t="s">
        <v>22</v>
      </c>
      <c r="J4" s="32" t="s">
        <v>23</v>
      </c>
      <c r="K4" s="30" t="s">
        <v>37</v>
      </c>
      <c r="L4" s="30"/>
      <c r="M4" s="30" t="s">
        <v>21</v>
      </c>
      <c r="N4" s="30" t="s">
        <v>21</v>
      </c>
      <c r="O4" s="30"/>
      <c r="P4" s="30" t="s">
        <v>24</v>
      </c>
      <c r="Q4" s="30" t="s">
        <v>52</v>
      </c>
      <c r="R4" s="30"/>
      <c r="S4" s="30" t="s">
        <v>24</v>
      </c>
      <c r="T4" s="30" t="s">
        <v>24</v>
      </c>
      <c r="U4" s="30"/>
      <c r="V4" s="30" t="s">
        <v>21</v>
      </c>
      <c r="W4" s="30" t="s">
        <v>21</v>
      </c>
      <c r="X4" s="33" t="str">
        <f t="shared" si="3"/>
        <v>#REF!</v>
      </c>
      <c r="Y4" s="30" t="s">
        <v>33</v>
      </c>
      <c r="Z4" s="38" t="s">
        <v>34</v>
      </c>
      <c r="AA4" s="4"/>
      <c r="AB4" s="4"/>
      <c r="AC4" s="5"/>
    </row>
    <row r="5" ht="15.75" customHeight="1">
      <c r="A5" s="25">
        <f t="shared" si="1"/>
        <v>1</v>
      </c>
      <c r="B5" s="25">
        <f t="shared" si="2"/>
        <v>1</v>
      </c>
      <c r="C5" s="26" t="s">
        <v>17</v>
      </c>
      <c r="D5" s="27" t="s">
        <v>32</v>
      </c>
      <c r="E5" s="28" t="s">
        <v>19</v>
      </c>
      <c r="F5" s="28"/>
      <c r="G5" s="29" t="s">
        <v>20</v>
      </c>
      <c r="H5" s="30" t="s">
        <v>30</v>
      </c>
      <c r="I5" s="31" t="s">
        <v>22</v>
      </c>
      <c r="J5" s="32" t="s">
        <v>23</v>
      </c>
      <c r="K5" s="30" t="s">
        <v>30</v>
      </c>
      <c r="L5" s="30" t="s">
        <v>30</v>
      </c>
      <c r="M5" s="30" t="s">
        <v>30</v>
      </c>
      <c r="N5" s="30" t="s">
        <v>30</v>
      </c>
      <c r="O5" s="30" t="s">
        <v>30</v>
      </c>
      <c r="P5" s="30" t="s">
        <v>30</v>
      </c>
      <c r="Q5" s="30" t="s">
        <v>30</v>
      </c>
      <c r="R5" s="30" t="s">
        <v>30</v>
      </c>
      <c r="S5" s="30" t="s">
        <v>30</v>
      </c>
      <c r="T5" s="30" t="s">
        <v>30</v>
      </c>
      <c r="U5" s="30" t="s">
        <v>30</v>
      </c>
      <c r="V5" s="30" t="s">
        <v>30</v>
      </c>
      <c r="W5" s="30" t="s">
        <v>30</v>
      </c>
      <c r="X5" s="33" t="str">
        <f t="shared" si="3"/>
        <v>#REF!</v>
      </c>
      <c r="Y5" s="30" t="s">
        <v>24</v>
      </c>
      <c r="Z5" s="38" t="s">
        <v>36</v>
      </c>
      <c r="AA5" s="4"/>
      <c r="AB5" s="4"/>
      <c r="AC5" s="5"/>
    </row>
    <row r="6" ht="15.75" customHeight="1">
      <c r="A6" s="25">
        <f t="shared" si="1"/>
        <v>1</v>
      </c>
      <c r="B6" s="25">
        <f t="shared" si="2"/>
        <v>3</v>
      </c>
      <c r="C6" s="26" t="s">
        <v>26</v>
      </c>
      <c r="D6" s="27" t="s">
        <v>27</v>
      </c>
      <c r="E6" s="28" t="s">
        <v>28</v>
      </c>
      <c r="F6" s="28" t="s">
        <v>29</v>
      </c>
      <c r="G6" s="29" t="s">
        <v>20</v>
      </c>
      <c r="H6" s="30" t="s">
        <v>30</v>
      </c>
      <c r="I6" s="31" t="s">
        <v>22</v>
      </c>
      <c r="J6" s="32" t="s">
        <v>23</v>
      </c>
      <c r="K6" s="30" t="s">
        <v>30</v>
      </c>
      <c r="L6" s="30" t="s">
        <v>30</v>
      </c>
      <c r="M6" s="30" t="s">
        <v>30</v>
      </c>
      <c r="N6" s="30" t="s">
        <v>21</v>
      </c>
      <c r="O6" s="30" t="s">
        <v>58</v>
      </c>
      <c r="P6" s="30" t="s">
        <v>30</v>
      </c>
      <c r="Q6" s="30" t="s">
        <v>21</v>
      </c>
      <c r="R6" s="30" t="s">
        <v>30</v>
      </c>
      <c r="S6" s="30" t="s">
        <v>30</v>
      </c>
      <c r="T6" s="30" t="s">
        <v>30</v>
      </c>
      <c r="U6" s="30" t="s">
        <v>30</v>
      </c>
      <c r="V6" s="30" t="s">
        <v>30</v>
      </c>
      <c r="W6" s="30" t="s">
        <v>30</v>
      </c>
      <c r="X6" s="33" t="str">
        <f t="shared" si="3"/>
        <v>#REF!</v>
      </c>
      <c r="Y6" s="30" t="s">
        <v>37</v>
      </c>
      <c r="Z6" s="40" t="s">
        <v>44</v>
      </c>
      <c r="AA6" s="4"/>
      <c r="AB6" s="4"/>
      <c r="AC6" s="5"/>
    </row>
    <row r="7" ht="15.75" customHeight="1">
      <c r="A7" s="25">
        <f t="shared" si="1"/>
        <v>2</v>
      </c>
      <c r="B7" s="25">
        <f t="shared" si="2"/>
        <v>4</v>
      </c>
      <c r="C7" s="26" t="s">
        <v>39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 t="s">
        <v>24</v>
      </c>
      <c r="L7" s="30"/>
      <c r="M7" s="39" t="s">
        <v>24</v>
      </c>
      <c r="N7" s="30" t="s">
        <v>24</v>
      </c>
      <c r="O7" s="30"/>
      <c r="P7" s="30" t="s">
        <v>24</v>
      </c>
      <c r="Q7" s="30" t="s">
        <v>21</v>
      </c>
      <c r="R7" s="30"/>
      <c r="S7" s="30" t="s">
        <v>21</v>
      </c>
      <c r="T7" s="30" t="s">
        <v>21</v>
      </c>
      <c r="U7" s="30"/>
      <c r="V7" s="30" t="s">
        <v>21</v>
      </c>
      <c r="W7" s="30" t="s">
        <v>21</v>
      </c>
      <c r="X7" s="33" t="str">
        <f t="shared" si="3"/>
        <v>#REF!</v>
      </c>
      <c r="Y7" s="30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8</v>
      </c>
      <c r="C8" s="26" t="s">
        <v>54</v>
      </c>
      <c r="D8" s="27" t="s">
        <v>47</v>
      </c>
      <c r="E8" s="28" t="s">
        <v>41</v>
      </c>
      <c r="F8" s="28" t="s">
        <v>48</v>
      </c>
      <c r="G8" s="29" t="s">
        <v>49</v>
      </c>
      <c r="H8" s="30" t="s">
        <v>21</v>
      </c>
      <c r="I8" s="31" t="s">
        <v>50</v>
      </c>
      <c r="J8" s="32" t="s">
        <v>51</v>
      </c>
      <c r="K8" s="30" t="s">
        <v>21</v>
      </c>
      <c r="L8" s="30"/>
      <c r="M8" s="41" t="s">
        <v>21</v>
      </c>
      <c r="N8" s="30" t="s">
        <v>21</v>
      </c>
      <c r="O8" s="30"/>
      <c r="P8" s="30" t="s">
        <v>21</v>
      </c>
      <c r="Q8" s="30" t="s">
        <v>21</v>
      </c>
      <c r="R8" s="30"/>
      <c r="S8" s="30" t="s">
        <v>21</v>
      </c>
      <c r="T8" s="30" t="s">
        <v>21</v>
      </c>
      <c r="U8" s="30" t="s">
        <v>58</v>
      </c>
      <c r="V8" s="30" t="s">
        <v>21</v>
      </c>
      <c r="W8" s="30" t="s">
        <v>21</v>
      </c>
      <c r="X8" s="33" t="str">
        <f t="shared" ref="X8:X9" si="4">SUM( (COUNTIF(K8,"A") + (COUNTIF(K8,"T")/2) + (COUNTIF(K8,"O")/2) )+ (COUNTIF(M8,"A") + (COUNTIF(M8,"T")/2) + (COUNTIF(M8,"O")/2) )+ (COUNTIF(#REF!,"A") + (COUNTIF(#REF!,"T")/2) + (COUNTIF(#REF!,"O")/2) )+ (COUNTIF(N8,"A") + (COUNTIF(N8,"T")/2) + (COUNTIF(N8,"O")/2) )+ (COUNTIF(O8,"A") + (COUNTIF(O8,"T")/2) + (COUNTIF(O8,"O")/2) )+ (COUNTIF(P8,"A") + (COUNTIF(P8,"T")/2) + (COUNTIF(P8,"O")/2) )+ (COUNTIF(Q8,"A") + (COUNTIF(Q8,"T")/2) + (COUNTIF(Q8,"O")/2) )+ (COUNTIF(R8,"A") + (COUNTIF(R8,"T")/2) + (COUNTIF(R8,"O")/2) )+ (COUNTIF(S8,"A") + (COUNTIF(S8,"T")/2) + (COUNTIF(S8,"O")/2) )+ (COUNTIF(#REF!,"A") + (COUNTIF(#REF!,"T")/2) + (COUNTIF(#REF!,"O")/2) )+ (COUNTIF(T8,"A") + (COUNTIF(T8,"T")/2) + (COUNTIF(T8,"O")/2) )+ (COUNTIF(U8,"A") + (COUNTIF(U8,"T")/2) + (COUNTIF(U8,"O")/2) )+ (COUNTIF(V8,"A") + (COUNTIF(V8,"T")/2) + (COUNTIF(V8,"O")/2) ) )/$X$1</f>
        <v>#REF!</v>
      </c>
      <c r="Y8" s="30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121</v>
      </c>
      <c r="E9" s="28" t="s">
        <v>41</v>
      </c>
      <c r="F9" s="28" t="s">
        <v>28</v>
      </c>
      <c r="G9" s="29" t="s">
        <v>49</v>
      </c>
      <c r="H9" s="30" t="s">
        <v>21</v>
      </c>
      <c r="I9" s="31" t="s">
        <v>50</v>
      </c>
      <c r="J9" s="32" t="s">
        <v>63</v>
      </c>
      <c r="K9" s="30" t="s">
        <v>24</v>
      </c>
      <c r="L9" s="30"/>
      <c r="M9" s="30" t="s">
        <v>21</v>
      </c>
      <c r="N9" s="30" t="s">
        <v>21</v>
      </c>
      <c r="O9" s="30"/>
      <c r="P9" s="30" t="s">
        <v>24</v>
      </c>
      <c r="Q9" s="30" t="s">
        <v>21</v>
      </c>
      <c r="R9" s="30"/>
      <c r="S9" s="30" t="s">
        <v>21</v>
      </c>
      <c r="T9" s="30" t="s">
        <v>24</v>
      </c>
      <c r="U9" s="30"/>
      <c r="V9" s="30" t="s">
        <v>24</v>
      </c>
      <c r="W9" s="30" t="s">
        <v>21</v>
      </c>
      <c r="X9" s="33" t="str">
        <f t="shared" si="4"/>
        <v>#REF!</v>
      </c>
      <c r="Y9" s="30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9</v>
      </c>
      <c r="C10" s="26" t="s">
        <v>64</v>
      </c>
      <c r="D10" s="27" t="s">
        <v>67</v>
      </c>
      <c r="E10" s="28" t="s">
        <v>61</v>
      </c>
      <c r="F10" s="28" t="s">
        <v>19</v>
      </c>
      <c r="G10" s="29" t="s">
        <v>20</v>
      </c>
      <c r="H10" s="30" t="s">
        <v>21</v>
      </c>
      <c r="I10" s="31" t="s">
        <v>50</v>
      </c>
      <c r="J10" s="32" t="s">
        <v>68</v>
      </c>
      <c r="K10" s="30" t="s">
        <v>24</v>
      </c>
      <c r="L10" s="63"/>
      <c r="M10" s="30" t="s">
        <v>24</v>
      </c>
      <c r="N10" s="30" t="s">
        <v>52</v>
      </c>
      <c r="O10" s="30"/>
      <c r="P10" s="30" t="s">
        <v>24</v>
      </c>
      <c r="Q10" s="30" t="s">
        <v>24</v>
      </c>
      <c r="R10" s="30"/>
      <c r="S10" s="30" t="s">
        <v>24</v>
      </c>
      <c r="T10" s="30" t="s">
        <v>21</v>
      </c>
      <c r="U10" s="30"/>
      <c r="V10" s="30" t="s">
        <v>24</v>
      </c>
      <c r="W10" s="30" t="s">
        <v>24</v>
      </c>
      <c r="X10" s="33" t="str">
        <f t="shared" ref="X10:X16" si="5">SUM( (COUNTIF(K10,"A") + (COUNTIF(K10,"T")/2) + (COUNTIF(K10,"O")/2) )+ (COUNTIF(L10,"A") + (COUNTIF(L10,"T")/2) + (COUNTIF(L10,"O")/2) )+ (COUNTIF(M10,"A") + (COUNTIF(M10,"T")/2) + (COUNTIF(M10,"O")/2) )+ (COUNTIF(N10,"A") + (COUNTIF(N10,"T")/2) + (COUNTIF(N10,"O")/2) )+ (COUNTIF(O10,"A") + (COUNTIF(O10,"T")/2) + (COUNTIF(O10,"O")/2) )+ (COUNTIF(P10,"A") + (COUNTIF(P10,"T")/2) + (COUNTIF(P10,"O")/2) )+ (COUNTIF(Q10,"A") + (COUNTIF(Q10,"T")/2) + (COUNTIF(Q10,"O")/2) )+ (COUNTIF(R10,"A") + (COUNTIF(R10,"T")/2) + (COUNTIF(R10,"O")/2) )+ (COUNTIF(S10,"A") + (COUNTIF(S10,"T")/2) + (COUNTIF(S10,"O")/2) )+ (COUNTIF(#REF!,"A") + (COUNTIF(#REF!,"T")/2) + (COUNTIF(#REF!,"O")/2) )+ (COUNTIF(T10,"A") + (COUNTIF(T10,"T")/2) + (COUNTIF(T10,"O")/2) )+ (COUNTIF(U10,"A") + (COUNTIF(U10,"T")/2) + (COUNTIF(U10,"O")/2) )+ (COUNTIF(V10,"A") + (COUNTIF(V10,"T")/2) + (COUNTIF(V10,"O")/2) ) )/$X$1</f>
        <v>#REF!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55</v>
      </c>
      <c r="E11" s="28" t="s">
        <v>41</v>
      </c>
      <c r="F11" s="28" t="s">
        <v>56</v>
      </c>
      <c r="G11" s="29" t="s">
        <v>49</v>
      </c>
      <c r="H11" s="30" t="s">
        <v>21</v>
      </c>
      <c r="I11" s="31" t="s">
        <v>50</v>
      </c>
      <c r="J11" s="32" t="s">
        <v>68</v>
      </c>
      <c r="K11" s="30" t="s">
        <v>21</v>
      </c>
      <c r="L11" s="30"/>
      <c r="M11" s="30" t="s">
        <v>21</v>
      </c>
      <c r="N11" s="30" t="s">
        <v>21</v>
      </c>
      <c r="O11" s="30"/>
      <c r="P11" s="30" t="s">
        <v>21</v>
      </c>
      <c r="Q11" s="30" t="s">
        <v>21</v>
      </c>
      <c r="R11" s="30"/>
      <c r="S11" s="30" t="s">
        <v>21</v>
      </c>
      <c r="T11" s="30" t="s">
        <v>21</v>
      </c>
      <c r="U11" s="30"/>
      <c r="V11" s="30" t="s">
        <v>21</v>
      </c>
      <c r="W11" s="30" t="s">
        <v>21</v>
      </c>
      <c r="X11" s="33" t="str">
        <f t="shared" si="5"/>
        <v>#REF!</v>
      </c>
    </row>
    <row r="12" ht="15.75" customHeight="1">
      <c r="A12" s="25">
        <f t="shared" si="1"/>
        <v>3</v>
      </c>
      <c r="B12" s="25">
        <f t="shared" si="2"/>
        <v>11</v>
      </c>
      <c r="C12" s="26" t="s">
        <v>79</v>
      </c>
      <c r="D12" s="27" t="s">
        <v>109</v>
      </c>
      <c r="E12" s="28" t="s">
        <v>19</v>
      </c>
      <c r="F12" s="28"/>
      <c r="G12" s="29" t="s">
        <v>20</v>
      </c>
      <c r="H12" s="42" t="s">
        <v>37</v>
      </c>
      <c r="I12" s="31" t="s">
        <v>50</v>
      </c>
      <c r="J12" s="32" t="s">
        <v>68</v>
      </c>
      <c r="K12" s="42" t="s">
        <v>37</v>
      </c>
      <c r="L12" s="42" t="s">
        <v>37</v>
      </c>
      <c r="M12" s="42" t="s">
        <v>37</v>
      </c>
      <c r="N12" s="42" t="s">
        <v>37</v>
      </c>
      <c r="O12" s="42" t="s">
        <v>37</v>
      </c>
      <c r="P12" s="42" t="s">
        <v>37</v>
      </c>
      <c r="Q12" s="42" t="s">
        <v>37</v>
      </c>
      <c r="R12" s="42" t="s">
        <v>37</v>
      </c>
      <c r="S12" s="42" t="s">
        <v>37</v>
      </c>
      <c r="T12" s="42" t="s">
        <v>37</v>
      </c>
      <c r="U12" s="42" t="s">
        <v>37</v>
      </c>
      <c r="V12" s="42" t="s">
        <v>37</v>
      </c>
      <c r="W12" s="42" t="s">
        <v>37</v>
      </c>
      <c r="X12" s="33" t="str">
        <f t="shared" si="5"/>
        <v>#REF!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79</v>
      </c>
      <c r="D13" s="27" t="s">
        <v>111</v>
      </c>
      <c r="E13" s="28" t="s">
        <v>19</v>
      </c>
      <c r="F13" s="28"/>
      <c r="G13" s="29" t="s">
        <v>112</v>
      </c>
      <c r="H13" s="30" t="s">
        <v>30</v>
      </c>
      <c r="I13" s="31" t="s">
        <v>50</v>
      </c>
      <c r="J13" s="32" t="s">
        <v>68</v>
      </c>
      <c r="K13" s="30" t="s">
        <v>37</v>
      </c>
      <c r="L13" s="30" t="s">
        <v>37</v>
      </c>
      <c r="M13" s="30" t="s">
        <v>37</v>
      </c>
      <c r="N13" s="30" t="s">
        <v>33</v>
      </c>
      <c r="O13" s="30"/>
      <c r="P13" s="30" t="s">
        <v>24</v>
      </c>
      <c r="Q13" s="30" t="s">
        <v>24</v>
      </c>
      <c r="R13" s="30"/>
      <c r="S13" s="30" t="s">
        <v>24</v>
      </c>
      <c r="T13" s="30" t="s">
        <v>30</v>
      </c>
      <c r="U13" s="30"/>
      <c r="V13" s="30" t="s">
        <v>30</v>
      </c>
      <c r="W13" s="30" t="s">
        <v>30</v>
      </c>
      <c r="X13" s="33" t="str">
        <f t="shared" si="5"/>
        <v>#REF!</v>
      </c>
      <c r="Y13" s="45" t="s">
        <v>77</v>
      </c>
      <c r="Z13" s="46">
        <f>COUNTIF(I3:I98,"1° P - 1°M")</f>
        <v>15</v>
      </c>
      <c r="AA13" s="44"/>
      <c r="AB13" s="45" t="s">
        <v>78</v>
      </c>
      <c r="AC13" s="46">
        <f>COUNTIF(C3:C98,"Rct.")</f>
        <v>10</v>
      </c>
    </row>
    <row r="14" ht="15.75" customHeight="1">
      <c r="A14" s="25">
        <f t="shared" si="1"/>
        <v>3</v>
      </c>
      <c r="B14" s="25">
        <f t="shared" si="2"/>
        <v>10</v>
      </c>
      <c r="C14" s="26" t="s">
        <v>84</v>
      </c>
      <c r="D14" s="27" t="s">
        <v>88</v>
      </c>
      <c r="E14" s="28" t="s">
        <v>19</v>
      </c>
      <c r="F14" s="28"/>
      <c r="G14" s="29" t="s">
        <v>62</v>
      </c>
      <c r="H14" s="30" t="s">
        <v>21</v>
      </c>
      <c r="I14" s="31" t="s">
        <v>50</v>
      </c>
      <c r="J14" s="32" t="s">
        <v>85</v>
      </c>
      <c r="K14" s="30" t="s">
        <v>30</v>
      </c>
      <c r="L14" s="30" t="s">
        <v>30</v>
      </c>
      <c r="M14" s="30" t="s">
        <v>30</v>
      </c>
      <c r="N14" s="30" t="s">
        <v>30</v>
      </c>
      <c r="O14" s="30" t="s">
        <v>30</v>
      </c>
      <c r="P14" s="30" t="s">
        <v>30</v>
      </c>
      <c r="Q14" s="30" t="s">
        <v>21</v>
      </c>
      <c r="R14" s="30"/>
      <c r="S14" s="30" t="s">
        <v>21</v>
      </c>
      <c r="T14" s="30" t="s">
        <v>21</v>
      </c>
      <c r="U14" s="30" t="s">
        <v>58</v>
      </c>
      <c r="V14" s="30" t="s">
        <v>21</v>
      </c>
      <c r="W14" s="30" t="s">
        <v>21</v>
      </c>
      <c r="X14" s="33" t="str">
        <f t="shared" si="5"/>
        <v>#REF!</v>
      </c>
      <c r="Y14" s="45" t="s">
        <v>81</v>
      </c>
      <c r="Z14" s="46">
        <f>COUNTIF(I3:I98,"1° P - 2°M")</f>
        <v>14</v>
      </c>
      <c r="AA14" s="44"/>
      <c r="AB14" s="45" t="s">
        <v>82</v>
      </c>
      <c r="AC14" s="46">
        <f>COUNTIF(C3:C98,"Inf.")</f>
        <v>17</v>
      </c>
    </row>
    <row r="15" ht="15.75" customHeight="1">
      <c r="A15" s="25">
        <f t="shared" si="1"/>
        <v>3</v>
      </c>
      <c r="B15" s="25">
        <f t="shared" si="2"/>
        <v>10</v>
      </c>
      <c r="C15" s="26" t="s">
        <v>84</v>
      </c>
      <c r="D15" s="27" t="s">
        <v>69</v>
      </c>
      <c r="E15" s="28" t="s">
        <v>19</v>
      </c>
      <c r="F15" s="28" t="s">
        <v>70</v>
      </c>
      <c r="G15" s="29" t="s">
        <v>71</v>
      </c>
      <c r="H15" s="30" t="s">
        <v>21</v>
      </c>
      <c r="I15" s="31" t="s">
        <v>50</v>
      </c>
      <c r="J15" s="32" t="s">
        <v>85</v>
      </c>
      <c r="K15" s="30" t="s">
        <v>21</v>
      </c>
      <c r="L15" s="63"/>
      <c r="M15" s="30" t="s">
        <v>21</v>
      </c>
      <c r="N15" s="30" t="s">
        <v>24</v>
      </c>
      <c r="O15" s="30"/>
      <c r="P15" s="30" t="s">
        <v>21</v>
      </c>
      <c r="Q15" s="30" t="s">
        <v>21</v>
      </c>
      <c r="R15" s="30"/>
      <c r="S15" s="30" t="s">
        <v>21</v>
      </c>
      <c r="T15" s="30" t="s">
        <v>21</v>
      </c>
      <c r="U15" s="30" t="s">
        <v>58</v>
      </c>
      <c r="V15" s="30" t="s">
        <v>21</v>
      </c>
      <c r="W15" s="30" t="s">
        <v>21</v>
      </c>
      <c r="X15" s="33" t="str">
        <f t="shared" si="5"/>
        <v>#REF!</v>
      </c>
      <c r="Y15" s="45" t="s">
        <v>86</v>
      </c>
      <c r="Z15" s="46">
        <f>COUNTIF(I3:I98,"1° PP - 1°Pa")</f>
        <v>11</v>
      </c>
      <c r="AA15" s="44"/>
      <c r="AB15" s="45" t="s">
        <v>87</v>
      </c>
      <c r="AC15" s="46">
        <f>COUNTIF(C3:C98,"Dis.")</f>
        <v>15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94</v>
      </c>
      <c r="E16" s="28" t="s">
        <v>19</v>
      </c>
      <c r="F16" s="28" t="s">
        <v>41</v>
      </c>
      <c r="G16" s="29" t="s">
        <v>49</v>
      </c>
      <c r="H16" s="42" t="s">
        <v>21</v>
      </c>
      <c r="I16" s="31" t="s">
        <v>50</v>
      </c>
      <c r="J16" s="32" t="s">
        <v>85</v>
      </c>
      <c r="K16" s="42" t="s">
        <v>21</v>
      </c>
      <c r="L16" s="42"/>
      <c r="M16" s="42" t="s">
        <v>21</v>
      </c>
      <c r="N16" s="42" t="s">
        <v>21</v>
      </c>
      <c r="O16" s="42"/>
      <c r="P16" s="42" t="s">
        <v>21</v>
      </c>
      <c r="Q16" s="42" t="s">
        <v>21</v>
      </c>
      <c r="R16" s="42"/>
      <c r="S16" s="42" t="s">
        <v>21</v>
      </c>
      <c r="T16" s="42" t="s">
        <v>21</v>
      </c>
      <c r="U16" s="42" t="s">
        <v>58</v>
      </c>
      <c r="V16" s="42" t="s">
        <v>21</v>
      </c>
      <c r="W16" s="42" t="s">
        <v>21</v>
      </c>
      <c r="X16" s="33" t="str">
        <f t="shared" si="5"/>
        <v>#REF!</v>
      </c>
      <c r="Y16" s="45" t="s">
        <v>89</v>
      </c>
      <c r="Z16" s="46">
        <f>COUNTIF(I3:I98,"Espectro")</f>
        <v>3</v>
      </c>
      <c r="AA16" s="44"/>
      <c r="AB16" s="45" t="s">
        <v>90</v>
      </c>
      <c r="AC16" s="46">
        <f>COUNTIF(C3:C98,"Cbo.")</f>
        <v>9</v>
      </c>
    </row>
    <row r="17" ht="15.75" customHeight="1">
      <c r="A17" s="25">
        <f t="shared" si="1"/>
        <v>3</v>
      </c>
      <c r="B17" s="25">
        <f t="shared" si="2"/>
        <v>7</v>
      </c>
      <c r="C17" s="26" t="s">
        <v>46</v>
      </c>
      <c r="D17" s="27" t="s">
        <v>100</v>
      </c>
      <c r="E17" s="28" t="s">
        <v>41</v>
      </c>
      <c r="F17" s="28" t="s">
        <v>28</v>
      </c>
      <c r="G17" s="29" t="s">
        <v>20</v>
      </c>
      <c r="H17" s="30" t="s">
        <v>30</v>
      </c>
      <c r="I17" s="31" t="s">
        <v>50</v>
      </c>
      <c r="J17" s="32"/>
      <c r="K17" s="30" t="s">
        <v>37</v>
      </c>
      <c r="L17" s="30"/>
      <c r="M17" s="30" t="s">
        <v>37</v>
      </c>
      <c r="N17" s="30" t="s">
        <v>37</v>
      </c>
      <c r="O17" s="30" t="s">
        <v>37</v>
      </c>
      <c r="P17" s="30" t="s">
        <v>37</v>
      </c>
      <c r="Q17" s="30" t="s">
        <v>37</v>
      </c>
      <c r="R17" s="30" t="s">
        <v>30</v>
      </c>
      <c r="S17" s="30" t="s">
        <v>30</v>
      </c>
      <c r="T17" s="30" t="s">
        <v>30</v>
      </c>
      <c r="U17" s="30" t="s">
        <v>30</v>
      </c>
      <c r="V17" s="30" t="s">
        <v>30</v>
      </c>
      <c r="W17" s="30" t="s">
        <v>30</v>
      </c>
      <c r="X17" s="33" t="str">
        <f>SUM( (COUNTIF(K17,"A") + (COUNTIF(K17,"T")/2) + (COUNTIF(K17,"O")/2) )+ (COUNTIF(M17,"A") + (COUNTIF(M17,"T")/2) + (COUNTIF(M17,"O")/2) )+ (COUNTIF(#REF!,"A") + (COUNTIF(#REF!,"T")/2) + (COUNTIF(#REF!,"O")/2) )+ (COUNTIF(N17,"A") + (COUNTIF(N17,"T")/2) + (COUNTIF(N17,"O")/2) )+ (COUNTIF(O17,"A") + (COUNTIF(O17,"T")/2) + (COUNTIF(O17,"O")/2) )+ (COUNTIF(P17,"A") + (COUNTIF(P17,"T")/2) + (COUNTIF(P17,"O")/2) )+ (COUNTIF(Q17,"A") + (COUNTIF(Q17,"T")/2) + (COUNTIF(Q17,"O")/2) )+ (COUNTIF(R17,"A") + (COUNTIF(R17,"T")/2) + (COUNTIF(R17,"O")/2) )+ (COUNTIF(S17,"A") + (COUNTIF(S17,"T")/2) + (COUNTIF(S17,"O")/2) )+ (COUNTIF(#REF!,"A") + (COUNTIF(#REF!,"T")/2) + (COUNTIF(#REF!,"O")/2) )+ (COUNTIF(T17,"A") + (COUNTIF(T17,"T")/2) + (COUNTIF(T17,"O")/2) )+ (COUNTIF(U17,"A") + (COUNTIF(U17,"T")/2) + (COUNTIF(U17,"O")/2) )+ (COUNTIF(V17,"A") + (COUNTIF(V17,"T")/2) + (COUNTIF(V17,"O")/2) ) )/$X$1</f>
        <v>#REF!</v>
      </c>
      <c r="Y17" s="45" t="s">
        <v>92</v>
      </c>
      <c r="Z17" s="46">
        <f>COUNTIF(I3:I98,"Caballeria")</f>
        <v>11</v>
      </c>
      <c r="AA17" s="44"/>
      <c r="AB17" s="45" t="s">
        <v>93</v>
      </c>
      <c r="AC17" s="46">
        <f>COUNTIF(C3:C98,"Cbo1.")</f>
        <v>6</v>
      </c>
    </row>
    <row r="18" ht="15.75" customHeight="1">
      <c r="A18" s="25">
        <f t="shared" si="1"/>
        <v>3</v>
      </c>
      <c r="B18" s="25">
        <f t="shared" si="2"/>
        <v>8</v>
      </c>
      <c r="C18" s="26" t="s">
        <v>54</v>
      </c>
      <c r="D18" s="27" t="s">
        <v>103</v>
      </c>
      <c r="E18" s="28" t="s">
        <v>70</v>
      </c>
      <c r="F18" s="28" t="s">
        <v>19</v>
      </c>
      <c r="G18" s="29" t="s">
        <v>20</v>
      </c>
      <c r="H18" s="30" t="s">
        <v>30</v>
      </c>
      <c r="I18" s="31" t="s">
        <v>50</v>
      </c>
      <c r="J18" s="32"/>
      <c r="K18" s="30" t="s">
        <v>30</v>
      </c>
      <c r="L18" s="30" t="s">
        <v>30</v>
      </c>
      <c r="M18" s="30" t="s">
        <v>30</v>
      </c>
      <c r="N18" s="30" t="s">
        <v>30</v>
      </c>
      <c r="O18" s="30" t="s">
        <v>30</v>
      </c>
      <c r="P18" s="30" t="s">
        <v>30</v>
      </c>
      <c r="Q18" s="30" t="s">
        <v>30</v>
      </c>
      <c r="R18" s="30" t="s">
        <v>30</v>
      </c>
      <c r="S18" s="30" t="s">
        <v>30</v>
      </c>
      <c r="T18" s="30" t="s">
        <v>30</v>
      </c>
      <c r="U18" s="30" t="s">
        <v>30</v>
      </c>
      <c r="V18" s="30" t="s">
        <v>30</v>
      </c>
      <c r="W18" s="30" t="s">
        <v>30</v>
      </c>
      <c r="X18" s="33" t="str">
        <f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)/$X$1</f>
        <v>#REF!</v>
      </c>
      <c r="Y18" s="45" t="s">
        <v>95</v>
      </c>
      <c r="Z18" s="46">
        <f>COUNTIF(I3:I98,"FAZR")</f>
        <v>4</v>
      </c>
      <c r="AA18" s="44"/>
      <c r="AB18" s="45" t="s">
        <v>96</v>
      </c>
      <c r="AC18" s="46">
        <f>COUNTIF(C3:C98,"Sgt.")</f>
        <v>7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54</v>
      </c>
      <c r="D19" s="27" t="s">
        <v>105</v>
      </c>
      <c r="E19" s="28" t="s">
        <v>41</v>
      </c>
      <c r="F19" s="28" t="s">
        <v>56</v>
      </c>
      <c r="G19" s="29" t="s">
        <v>49</v>
      </c>
      <c r="H19" s="30" t="s">
        <v>30</v>
      </c>
      <c r="I19" s="31" t="s">
        <v>50</v>
      </c>
      <c r="J19" s="32"/>
      <c r="K19" s="30" t="s">
        <v>30</v>
      </c>
      <c r="L19" s="30" t="s">
        <v>30</v>
      </c>
      <c r="M19" s="30" t="s">
        <v>30</v>
      </c>
      <c r="N19" s="30" t="s">
        <v>30</v>
      </c>
      <c r="O19" s="30" t="s">
        <v>30</v>
      </c>
      <c r="P19" s="30" t="s">
        <v>30</v>
      </c>
      <c r="Q19" s="30" t="s">
        <v>30</v>
      </c>
      <c r="R19" s="30" t="s">
        <v>30</v>
      </c>
      <c r="S19" s="30" t="s">
        <v>30</v>
      </c>
      <c r="T19" s="30" t="s">
        <v>30</v>
      </c>
      <c r="U19" s="30" t="s">
        <v>30</v>
      </c>
      <c r="V19" s="30" t="s">
        <v>30</v>
      </c>
      <c r="W19" s="30" t="s">
        <v>30</v>
      </c>
      <c r="X19" s="33" t="str">
        <f>SUM( (COUNTIF(K19,"A") + (COUNTIF(K19,"T")/2) + (COUNTIF(K19,"O")/2) )+ (COUNTIF(M19,"A") + (COUNTIF(M19,"T")/2) + (COUNTIF(M19,"O")/2) )+ (COUNTIF(#REF!,"A") + (COUNTIF(#REF!,"T")/2) + (COUNTIF(#REF!,"O")/2) )+ (COUNTIF(N19,"A") + (COUNTIF(N19,"T")/2) + (COUNTIF(N19,"O")/2) )+ (COUNTIF(O19,"A") + (COUNTIF(O19,"T")/2) + (COUNTIF(O19,"O")/2) )+ (COUNTIF(P19,"A") + (COUNTIF(P19,"T")/2) + (COUNTIF(P19,"O")/2) )+ (COUNTIF(Q19,"A") + (COUNTIF(Q19,"T")/2) + (COUNTIF(Q19,"O")/2) )+ (COUNTIF(R19,"A") + (COUNTIF(R19,"T")/2) + (COUNTIF(R19,"O")/2) )+ (COUNTIF(S19,"A") + (COUNTIF(S19,"T")/2) + (COUNTIF(S19,"O")/2) )+ (COUNTIF(#REF!,"A") + (COUNTIF(#REF!,"T")/2) + (COUNTIF(#REF!,"O")/2) )+ (COUNTIF(T19,"A") + (COUNTIF(T19,"T")/2) + (COUNTIF(T19,"O")/2) )+ (COUNTIF(U19,"A") + (COUNTIF(U19,"T")/2) + (COUNTIF(U19,"O")/2) )+ (COUNTIF(V19,"A") + (COUNTIF(V19,"T")/2) + (COUNTIF(V19,"O")/2) ) )/$X$1</f>
        <v>#REF!</v>
      </c>
      <c r="Y19" s="45" t="s">
        <v>98</v>
      </c>
      <c r="Z19" s="46">
        <v>1.0</v>
      </c>
      <c r="AA19" s="44"/>
      <c r="AB19" s="45" t="s">
        <v>99</v>
      </c>
      <c r="AC19" s="46">
        <f>COUNTIF(C3:C98,"Sgt1.")</f>
        <v>0</v>
      </c>
    </row>
    <row r="20" ht="15.75" customHeight="1">
      <c r="A20" s="25">
        <f t="shared" si="1"/>
        <v>3</v>
      </c>
      <c r="B20" s="25">
        <f t="shared" si="2"/>
        <v>9</v>
      </c>
      <c r="C20" s="26" t="s">
        <v>64</v>
      </c>
      <c r="D20" s="27" t="s">
        <v>107</v>
      </c>
      <c r="E20" s="28" t="s">
        <v>70</v>
      </c>
      <c r="F20" s="28" t="s">
        <v>48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0" t="s">
        <v>30</v>
      </c>
      <c r="X20" s="33" t="str">
        <f t="shared" ref="X20:X61" si="6">SUM( (COUNTIF(K20,"A") + (COUNTIF(K20,"T")/2) + (COUNTIF(K20,"O")/2) )+ (COUNTIF(L20,"A") + (COUNTIF(L20,"T")/2) + (COUNTIF(L20,"O")/2) )+ (COUNTIF(M20,"A") + (COUNTIF(M20,"T")/2) + (COUNTIF(M20,"O")/2) )+ (COUNTIF(N20,"A") + (COUNTIF(N20,"T")/2) + (COUNTIF(N20,"O")/2) )+ (COUNTIF(O20,"A") + (COUNTIF(O20,"T")/2) + (COUNTIF(O20,"O")/2) )+ (COUNTIF(P20,"A") + (COUNTIF(P20,"T")/2) + (COUNTIF(P20,"O")/2) )+ (COUNTIF(Q20,"A") + (COUNTIF(Q20,"T")/2) + (COUNTIF(Q20,"O")/2) )+ (COUNTIF(R20,"A") + (COUNTIF(R20,"T")/2) + (COUNTIF(R20,"O")/2) )+ (COUNTIF(S20,"A") + (COUNTIF(S20,"T")/2) + (COUNTIF(S20,"O")/2) )+ (COUNTIF(#REF!,"A") + (COUNTIF(#REF!,"T")/2) + (COUNTIF(#REF!,"O")/2) )+ (COUNTIF(T20,"A") + (COUNTIF(T20,"T")/2) + (COUNTIF(T20,"O")/2) )+ (COUNTIF(U20,"A") + (COUNTIF(U20,"T")/2) + (COUNTIF(U20,"O")/2) )+ (COUNTIF(V20,"A") + (COUNTIF(V20,"T")/2) + (COUNTIF(V20,"O")/2) ) )/$X$1</f>
        <v>#REF!</v>
      </c>
      <c r="Y20" s="45" t="s">
        <v>101</v>
      </c>
      <c r="Z20" s="46">
        <f>COUNTIF(H3:H98,"R")</f>
        <v>21</v>
      </c>
      <c r="AA20" s="44"/>
      <c r="AB20" s="45" t="s">
        <v>102</v>
      </c>
      <c r="AC20" s="46">
        <f>COUNTIF(C3:C98,"SgtM.")</f>
        <v>1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64</v>
      </c>
      <c r="D21" s="27" t="s">
        <v>83</v>
      </c>
      <c r="E21" s="28" t="s">
        <v>76</v>
      </c>
      <c r="F21" s="28" t="s">
        <v>70</v>
      </c>
      <c r="G21" s="29" t="s">
        <v>49</v>
      </c>
      <c r="H21" s="30" t="s">
        <v>21</v>
      </c>
      <c r="I21" s="31" t="s">
        <v>50</v>
      </c>
      <c r="J21" s="32"/>
      <c r="K21" s="30" t="s">
        <v>21</v>
      </c>
      <c r="L21" s="30" t="s">
        <v>30</v>
      </c>
      <c r="M21" s="30" t="s">
        <v>21</v>
      </c>
      <c r="N21" s="30" t="s">
        <v>52</v>
      </c>
      <c r="O21" s="30" t="s">
        <v>58</v>
      </c>
      <c r="P21" s="30" t="s">
        <v>21</v>
      </c>
      <c r="Q21" s="30" t="s">
        <v>21</v>
      </c>
      <c r="R21" s="30"/>
      <c r="S21" s="30" t="s">
        <v>52</v>
      </c>
      <c r="T21" s="30" t="s">
        <v>52</v>
      </c>
      <c r="U21" s="30"/>
      <c r="V21" s="30" t="s">
        <v>24</v>
      </c>
      <c r="W21" s="30" t="s">
        <v>24</v>
      </c>
      <c r="X21" s="33" t="str">
        <f t="shared" si="6"/>
        <v>#REF!</v>
      </c>
      <c r="Y21" s="45" t="s">
        <v>38</v>
      </c>
      <c r="Z21" s="46">
        <f>COUNTIF(H3:H98,"L")</f>
        <v>1</v>
      </c>
      <c r="AA21" s="44"/>
      <c r="AB21" s="45" t="s">
        <v>104</v>
      </c>
      <c r="AC21" s="46">
        <f>COUNTIF(C3:C98,"Tte.")</f>
        <v>0</v>
      </c>
    </row>
    <row r="22" ht="15.75" customHeight="1">
      <c r="A22" s="25">
        <f t="shared" si="1"/>
        <v>3</v>
      </c>
      <c r="B22" s="25">
        <v>11.0</v>
      </c>
      <c r="C22" s="26" t="s">
        <v>79</v>
      </c>
      <c r="D22" s="27" t="s">
        <v>148</v>
      </c>
      <c r="E22" s="28" t="s">
        <v>61</v>
      </c>
      <c r="F22" s="28"/>
      <c r="G22" s="29" t="s">
        <v>149</v>
      </c>
      <c r="H22" s="30" t="s">
        <v>21</v>
      </c>
      <c r="I22" s="31" t="s">
        <v>50</v>
      </c>
      <c r="J22" s="32"/>
      <c r="K22" s="30" t="s">
        <v>65</v>
      </c>
      <c r="L22" s="30"/>
      <c r="M22" s="30" t="s">
        <v>65</v>
      </c>
      <c r="N22" s="30" t="s">
        <v>65</v>
      </c>
      <c r="O22" s="30"/>
      <c r="P22" s="30" t="s">
        <v>65</v>
      </c>
      <c r="Q22" s="30" t="s">
        <v>21</v>
      </c>
      <c r="R22" s="30"/>
      <c r="S22" s="30" t="s">
        <v>21</v>
      </c>
      <c r="T22" s="30" t="s">
        <v>21</v>
      </c>
      <c r="U22" s="30" t="s">
        <v>58</v>
      </c>
      <c r="V22" s="30" t="s">
        <v>21</v>
      </c>
      <c r="W22" s="30" t="s">
        <v>21</v>
      </c>
      <c r="X22" s="33" t="str">
        <f t="shared" si="6"/>
        <v>#REF!</v>
      </c>
      <c r="Y22" s="45"/>
      <c r="Z22" s="46"/>
      <c r="AA22" s="44"/>
      <c r="AB22" s="45" t="s">
        <v>106</v>
      </c>
      <c r="AC22" s="46">
        <f>COUNTIF(C3:C98,"Alf.")</f>
        <v>1</v>
      </c>
    </row>
    <row r="23" ht="15.75" customHeight="1">
      <c r="A23" s="25">
        <f t="shared" si="1"/>
        <v>4</v>
      </c>
      <c r="B23" s="25">
        <f t="shared" ref="B23:B98" si="7">IF(C23="Cap.",1,IF(C23="Tte.",2,IF(C23="Alf.",3,IF(C23="SgtM.",4,IF(C23="Sgt1.",5,IF(C23="Sgt.",6,IF(C23="Cbo1.",7,IF(C23="Cbo.",8,IF(C23="Dis.",9,IF(C23="Inf.",10,IF(C23="Rct.",11,15)))))))))))</f>
        <v>6</v>
      </c>
      <c r="C23" s="26" t="s">
        <v>113</v>
      </c>
      <c r="D23" s="27" t="s">
        <v>114</v>
      </c>
      <c r="E23" s="28" t="s">
        <v>48</v>
      </c>
      <c r="F23" s="28" t="s">
        <v>76</v>
      </c>
      <c r="G23" s="29" t="s">
        <v>20</v>
      </c>
      <c r="H23" s="30" t="s">
        <v>21</v>
      </c>
      <c r="I23" s="31" t="s">
        <v>115</v>
      </c>
      <c r="J23" s="32" t="s">
        <v>51</v>
      </c>
      <c r="K23" s="30" t="s">
        <v>21</v>
      </c>
      <c r="L23" s="30"/>
      <c r="M23" s="30" t="s">
        <v>21</v>
      </c>
      <c r="N23" s="30" t="s">
        <v>21</v>
      </c>
      <c r="O23" s="30"/>
      <c r="P23" s="30" t="s">
        <v>24</v>
      </c>
      <c r="Q23" s="30" t="s">
        <v>21</v>
      </c>
      <c r="R23" s="30"/>
      <c r="S23" s="30" t="s">
        <v>21</v>
      </c>
      <c r="T23" s="30" t="s">
        <v>21</v>
      </c>
      <c r="U23" s="30" t="s">
        <v>58</v>
      </c>
      <c r="V23" s="30" t="s">
        <v>21</v>
      </c>
      <c r="W23" s="30" t="s">
        <v>21</v>
      </c>
      <c r="X23" s="33" t="str">
        <f t="shared" si="6"/>
        <v>#REF!</v>
      </c>
      <c r="Y23" s="45"/>
      <c r="Z23" s="46"/>
      <c r="AA23" s="44"/>
      <c r="AB23" s="45" t="s">
        <v>108</v>
      </c>
      <c r="AC23" s="46">
        <f>COUNTIF(C3:C98,"Cap.")</f>
        <v>3</v>
      </c>
    </row>
    <row r="24" ht="15.75" customHeight="1">
      <c r="A24" s="25">
        <f t="shared" si="1"/>
        <v>4</v>
      </c>
      <c r="B24" s="25">
        <f t="shared" si="7"/>
        <v>8</v>
      </c>
      <c r="C24" s="26" t="s">
        <v>54</v>
      </c>
      <c r="D24" s="27" t="s">
        <v>118</v>
      </c>
      <c r="E24" s="28" t="s">
        <v>76</v>
      </c>
      <c r="F24" s="28" t="s">
        <v>28</v>
      </c>
      <c r="G24" s="29" t="s">
        <v>62</v>
      </c>
      <c r="H24" s="30" t="s">
        <v>21</v>
      </c>
      <c r="I24" s="31" t="s">
        <v>115</v>
      </c>
      <c r="J24" s="32" t="s">
        <v>57</v>
      </c>
      <c r="K24" s="30" t="s">
        <v>24</v>
      </c>
      <c r="L24" s="30"/>
      <c r="M24" s="30" t="s">
        <v>21</v>
      </c>
      <c r="N24" s="30" t="s">
        <v>21</v>
      </c>
      <c r="O24" s="30"/>
      <c r="P24" s="30" t="s">
        <v>21</v>
      </c>
      <c r="Q24" s="30" t="s">
        <v>21</v>
      </c>
      <c r="R24" s="30"/>
      <c r="S24" s="30" t="s">
        <v>21</v>
      </c>
      <c r="T24" s="30" t="s">
        <v>21</v>
      </c>
      <c r="U24" s="30"/>
      <c r="V24" s="30" t="s">
        <v>24</v>
      </c>
      <c r="W24" s="30" t="s">
        <v>24</v>
      </c>
      <c r="X24" s="33" t="str">
        <f t="shared" si="6"/>
        <v>#REF!</v>
      </c>
      <c r="Y24" s="47"/>
      <c r="Z24" s="47"/>
      <c r="AA24" s="48"/>
      <c r="AB24" s="1"/>
      <c r="AC24" s="1"/>
    </row>
    <row r="25" ht="15.75" customHeight="1">
      <c r="A25" s="25">
        <f t="shared" si="1"/>
        <v>4</v>
      </c>
      <c r="B25" s="25">
        <f t="shared" si="7"/>
        <v>8</v>
      </c>
      <c r="C25" s="26" t="s">
        <v>54</v>
      </c>
      <c r="D25" s="27" t="s">
        <v>60</v>
      </c>
      <c r="E25" s="28" t="s">
        <v>61</v>
      </c>
      <c r="F25" s="28" t="s">
        <v>56</v>
      </c>
      <c r="G25" s="29" t="s">
        <v>62</v>
      </c>
      <c r="H25" s="30" t="s">
        <v>21</v>
      </c>
      <c r="I25" s="31" t="s">
        <v>115</v>
      </c>
      <c r="J25" s="32" t="s">
        <v>63</v>
      </c>
      <c r="K25" s="30" t="s">
        <v>21</v>
      </c>
      <c r="L25" s="30"/>
      <c r="M25" s="30" t="s">
        <v>21</v>
      </c>
      <c r="N25" s="30" t="s">
        <v>21</v>
      </c>
      <c r="O25" s="30"/>
      <c r="P25" s="30" t="s">
        <v>21</v>
      </c>
      <c r="Q25" s="30" t="s">
        <v>21</v>
      </c>
      <c r="R25" s="30"/>
      <c r="S25" s="30" t="s">
        <v>21</v>
      </c>
      <c r="T25" s="30" t="s">
        <v>21</v>
      </c>
      <c r="U25" s="30"/>
      <c r="V25" s="30" t="s">
        <v>24</v>
      </c>
      <c r="W25" s="30" t="s">
        <v>24</v>
      </c>
      <c r="X25" s="33" t="str">
        <f t="shared" si="6"/>
        <v>#REF!</v>
      </c>
      <c r="Y25" s="43" t="s">
        <v>116</v>
      </c>
      <c r="Z25" s="43" t="s">
        <v>73</v>
      </c>
      <c r="AA25" s="48"/>
      <c r="AB25" s="43" t="s">
        <v>117</v>
      </c>
      <c r="AC25" s="43" t="s">
        <v>73</v>
      </c>
    </row>
    <row r="26" ht="15.75" customHeight="1">
      <c r="A26" s="25">
        <f t="shared" si="1"/>
        <v>4</v>
      </c>
      <c r="B26" s="25">
        <f t="shared" si="7"/>
        <v>9</v>
      </c>
      <c r="C26" s="26" t="s">
        <v>64</v>
      </c>
      <c r="D26" s="27" t="s">
        <v>217</v>
      </c>
      <c r="E26" s="28" t="s">
        <v>61</v>
      </c>
      <c r="F26" s="28" t="s">
        <v>70</v>
      </c>
      <c r="G26" s="29" t="s">
        <v>20</v>
      </c>
      <c r="H26" s="30" t="s">
        <v>30</v>
      </c>
      <c r="I26" s="31" t="s">
        <v>115</v>
      </c>
      <c r="J26" s="32" t="s">
        <v>68</v>
      </c>
      <c r="K26" s="30" t="s">
        <v>30</v>
      </c>
      <c r="L26" s="30" t="s">
        <v>30</v>
      </c>
      <c r="M26" s="30" t="s">
        <v>30</v>
      </c>
      <c r="N26" s="30" t="s">
        <v>30</v>
      </c>
      <c r="O26" s="30" t="s">
        <v>30</v>
      </c>
      <c r="P26" s="30" t="s">
        <v>30</v>
      </c>
      <c r="Q26" s="30" t="s">
        <v>30</v>
      </c>
      <c r="R26" s="30" t="s">
        <v>30</v>
      </c>
      <c r="S26" s="30" t="s">
        <v>30</v>
      </c>
      <c r="T26" s="30" t="s">
        <v>30</v>
      </c>
      <c r="U26" s="30" t="s">
        <v>30</v>
      </c>
      <c r="V26" s="30" t="s">
        <v>30</v>
      </c>
      <c r="W26" s="30" t="s">
        <v>30</v>
      </c>
      <c r="X26" s="33" t="str">
        <f t="shared" si="6"/>
        <v>#REF!</v>
      </c>
      <c r="Y26" s="45" t="s">
        <v>119</v>
      </c>
      <c r="Z26" s="46">
        <f>COUNTIF(G3:G98, "Ar")</f>
        <v>18</v>
      </c>
      <c r="AA26" s="44"/>
      <c r="AB26" s="45" t="s">
        <v>120</v>
      </c>
      <c r="AC26" s="46">
        <f>COUNTIF(E3:E98,"AT")+COUNTIF(F3:F98,"AT")</f>
        <v>16</v>
      </c>
    </row>
    <row r="27" ht="15.75" customHeight="1">
      <c r="A27" s="25">
        <f t="shared" si="1"/>
        <v>4</v>
      </c>
      <c r="B27" s="25">
        <f t="shared" si="7"/>
        <v>10</v>
      </c>
      <c r="C27" s="26" t="s">
        <v>84</v>
      </c>
      <c r="D27" s="27" t="s">
        <v>128</v>
      </c>
      <c r="E27" s="28" t="s">
        <v>41</v>
      </c>
      <c r="F27" s="28" t="s">
        <v>19</v>
      </c>
      <c r="G27" s="29" t="s">
        <v>71</v>
      </c>
      <c r="H27" s="30" t="s">
        <v>21</v>
      </c>
      <c r="I27" s="31" t="s">
        <v>115</v>
      </c>
      <c r="J27" s="32" t="s">
        <v>68</v>
      </c>
      <c r="K27" s="30" t="s">
        <v>21</v>
      </c>
      <c r="L27" s="63"/>
      <c r="M27" s="30" t="s">
        <v>24</v>
      </c>
      <c r="N27" s="30" t="s">
        <v>21</v>
      </c>
      <c r="O27" s="30"/>
      <c r="P27" s="30" t="s">
        <v>21</v>
      </c>
      <c r="Q27" s="30" t="s">
        <v>24</v>
      </c>
      <c r="R27" s="30"/>
      <c r="S27" s="30" t="s">
        <v>21</v>
      </c>
      <c r="T27" s="30" t="s">
        <v>21</v>
      </c>
      <c r="U27" s="30"/>
      <c r="V27" s="30" t="s">
        <v>21</v>
      </c>
      <c r="W27" s="30" t="s">
        <v>21</v>
      </c>
      <c r="X27" s="33" t="str">
        <f t="shared" si="6"/>
        <v>#REF!</v>
      </c>
      <c r="Y27" s="49" t="s">
        <v>122</v>
      </c>
      <c r="Z27" s="46">
        <f>COUNTIF(G3:G98, "Ch")</f>
        <v>13</v>
      </c>
      <c r="AA27" s="44"/>
      <c r="AB27" s="49" t="s">
        <v>123</v>
      </c>
      <c r="AC27" s="46">
        <f>COUNTIF(E3:E98,"FL")+COUNTIF(F3:F98,"FL")</f>
        <v>33</v>
      </c>
    </row>
    <row r="28" ht="15.75" customHeight="1">
      <c r="A28" s="25">
        <f t="shared" si="1"/>
        <v>4</v>
      </c>
      <c r="B28" s="25">
        <f t="shared" si="7"/>
        <v>10</v>
      </c>
      <c r="C28" s="26" t="s">
        <v>84</v>
      </c>
      <c r="D28" s="27" t="s">
        <v>124</v>
      </c>
      <c r="E28" s="28" t="s">
        <v>61</v>
      </c>
      <c r="F28" s="28" t="s">
        <v>70</v>
      </c>
      <c r="G28" s="29" t="s">
        <v>125</v>
      </c>
      <c r="H28" s="30" t="s">
        <v>21</v>
      </c>
      <c r="I28" s="31" t="s">
        <v>115</v>
      </c>
      <c r="J28" s="32" t="s">
        <v>68</v>
      </c>
      <c r="K28" s="30" t="s">
        <v>21</v>
      </c>
      <c r="L28" s="30"/>
      <c r="M28" s="30" t="s">
        <v>21</v>
      </c>
      <c r="N28" s="30" t="s">
        <v>21</v>
      </c>
      <c r="O28" s="30"/>
      <c r="P28" s="30" t="s">
        <v>21</v>
      </c>
      <c r="Q28" s="30" t="s">
        <v>21</v>
      </c>
      <c r="R28" s="30"/>
      <c r="S28" s="30" t="s">
        <v>21</v>
      </c>
      <c r="T28" s="30" t="s">
        <v>21</v>
      </c>
      <c r="U28" s="30"/>
      <c r="V28" s="42" t="s">
        <v>21</v>
      </c>
      <c r="W28" s="42" t="s">
        <v>21</v>
      </c>
      <c r="X28" s="33" t="str">
        <f t="shared" si="6"/>
        <v>#REF!</v>
      </c>
      <c r="Y28" s="49" t="s">
        <v>126</v>
      </c>
      <c r="Z28" s="46">
        <f>COUNTIF(G3:G98, "Co")</f>
        <v>2</v>
      </c>
      <c r="AA28" s="44"/>
      <c r="AB28" s="49" t="s">
        <v>127</v>
      </c>
      <c r="AC28" s="46">
        <f>COUNTIF(E3:E98,"GL")+COUNTIF(F3:F98,"GL")</f>
        <v>7</v>
      </c>
    </row>
    <row r="29" ht="15.75" customHeight="1">
      <c r="A29" s="25">
        <f t="shared" si="1"/>
        <v>4</v>
      </c>
      <c r="B29" s="25">
        <f t="shared" si="7"/>
        <v>8</v>
      </c>
      <c r="C29" s="26" t="s">
        <v>54</v>
      </c>
      <c r="D29" s="27" t="s">
        <v>218</v>
      </c>
      <c r="E29" s="28" t="s">
        <v>41</v>
      </c>
      <c r="F29" s="28" t="s">
        <v>56</v>
      </c>
      <c r="G29" s="29" t="s">
        <v>71</v>
      </c>
      <c r="H29" s="30" t="s">
        <v>30</v>
      </c>
      <c r="I29" s="31" t="s">
        <v>115</v>
      </c>
      <c r="J29" s="32" t="s">
        <v>85</v>
      </c>
      <c r="K29" s="30" t="s">
        <v>30</v>
      </c>
      <c r="L29" s="30" t="s">
        <v>30</v>
      </c>
      <c r="M29" s="30" t="s">
        <v>30</v>
      </c>
      <c r="N29" s="30" t="s">
        <v>30</v>
      </c>
      <c r="O29" s="30" t="s">
        <v>30</v>
      </c>
      <c r="P29" s="30" t="s">
        <v>30</v>
      </c>
      <c r="Q29" s="30" t="s">
        <v>30</v>
      </c>
      <c r="R29" s="30" t="s">
        <v>30</v>
      </c>
      <c r="S29" s="30" t="s">
        <v>30</v>
      </c>
      <c r="T29" s="30" t="s">
        <v>30</v>
      </c>
      <c r="U29" s="30" t="s">
        <v>30</v>
      </c>
      <c r="V29" s="30" t="s">
        <v>30</v>
      </c>
      <c r="W29" s="30" t="s">
        <v>30</v>
      </c>
      <c r="X29" s="33" t="str">
        <f t="shared" si="6"/>
        <v>#REF!</v>
      </c>
      <c r="Y29" s="49" t="s">
        <v>129</v>
      </c>
      <c r="Z29" s="46">
        <f>COUNTIF(G3:G98, "CR")</f>
        <v>0</v>
      </c>
      <c r="AA29" s="44"/>
      <c r="AB29" s="49" t="s">
        <v>130</v>
      </c>
      <c r="AC29" s="46">
        <f>COUNTIF(E3:E98,"MC")+COUNTIF(F3:F98,"MC")</f>
        <v>21</v>
      </c>
    </row>
    <row r="30" ht="15.75" customHeight="1">
      <c r="A30" s="25">
        <f t="shared" si="1"/>
        <v>4</v>
      </c>
      <c r="B30" s="25">
        <f t="shared" si="7"/>
        <v>9</v>
      </c>
      <c r="C30" s="26" t="s">
        <v>64</v>
      </c>
      <c r="D30" s="27" t="s">
        <v>138</v>
      </c>
      <c r="E30" s="28" t="s">
        <v>61</v>
      </c>
      <c r="F30" s="28" t="s">
        <v>70</v>
      </c>
      <c r="G30" s="29" t="s">
        <v>62</v>
      </c>
      <c r="H30" s="30" t="s">
        <v>21</v>
      </c>
      <c r="I30" s="31" t="s">
        <v>115</v>
      </c>
      <c r="J30" s="32" t="s">
        <v>85</v>
      </c>
      <c r="K30" s="30" t="s">
        <v>21</v>
      </c>
      <c r="L30" s="30"/>
      <c r="M30" s="30" t="s">
        <v>24</v>
      </c>
      <c r="N30" s="30" t="s">
        <v>52</v>
      </c>
      <c r="O30" s="30"/>
      <c r="P30" s="30" t="s">
        <v>21</v>
      </c>
      <c r="Q30" s="30" t="s">
        <v>33</v>
      </c>
      <c r="R30" s="30"/>
      <c r="S30" s="30" t="s">
        <v>24</v>
      </c>
      <c r="T30" s="30" t="s">
        <v>24</v>
      </c>
      <c r="U30" s="30"/>
      <c r="V30" s="30" t="s">
        <v>21</v>
      </c>
      <c r="W30" s="30" t="s">
        <v>21</v>
      </c>
      <c r="X30" s="33" t="str">
        <f t="shared" si="6"/>
        <v>#REF!</v>
      </c>
      <c r="Y30" s="49" t="s">
        <v>133</v>
      </c>
      <c r="Z30" s="46">
        <f>COUNTIF(G3:G98, "ES")</f>
        <v>1</v>
      </c>
      <c r="AA30" s="44"/>
      <c r="AB30" s="49" t="s">
        <v>134</v>
      </c>
      <c r="AC30" s="46">
        <f>COUNTIF(E3:E98,"MG")+COUNTIF(F3:F98,"MG")</f>
        <v>15</v>
      </c>
    </row>
    <row r="31" ht="15.75" customHeight="1">
      <c r="A31" s="25">
        <f t="shared" si="1"/>
        <v>4</v>
      </c>
      <c r="B31" s="25">
        <f t="shared" si="7"/>
        <v>10</v>
      </c>
      <c r="C31" s="26" t="s">
        <v>84</v>
      </c>
      <c r="D31" s="27" t="s">
        <v>220</v>
      </c>
      <c r="E31" s="28" t="s">
        <v>19</v>
      </c>
      <c r="F31" s="28" t="s">
        <v>41</v>
      </c>
      <c r="G31" s="29" t="s">
        <v>49</v>
      </c>
      <c r="H31" s="30" t="s">
        <v>30</v>
      </c>
      <c r="I31" s="31" t="s">
        <v>115</v>
      </c>
      <c r="J31" s="32" t="s">
        <v>85</v>
      </c>
      <c r="K31" s="30" t="s">
        <v>30</v>
      </c>
      <c r="L31" s="30" t="s">
        <v>30</v>
      </c>
      <c r="M31" s="30" t="s">
        <v>30</v>
      </c>
      <c r="N31" s="30" t="s">
        <v>30</v>
      </c>
      <c r="O31" s="30" t="s">
        <v>30</v>
      </c>
      <c r="P31" s="30" t="s">
        <v>30</v>
      </c>
      <c r="Q31" s="30" t="s">
        <v>30</v>
      </c>
      <c r="R31" s="30" t="s">
        <v>30</v>
      </c>
      <c r="S31" s="30" t="s">
        <v>30</v>
      </c>
      <c r="T31" s="30" t="s">
        <v>30</v>
      </c>
      <c r="U31" s="30" t="s">
        <v>30</v>
      </c>
      <c r="V31" s="30" t="s">
        <v>30</v>
      </c>
      <c r="W31" s="30" t="s">
        <v>30</v>
      </c>
      <c r="X31" s="33" t="str">
        <f t="shared" si="6"/>
        <v>#REF!</v>
      </c>
      <c r="Y31" s="49" t="s">
        <v>136</v>
      </c>
      <c r="Z31" s="46">
        <f>COUNTIF(G3:G98, "Ja")</f>
        <v>1</v>
      </c>
      <c r="AA31" s="44"/>
      <c r="AB31" s="49" t="s">
        <v>137</v>
      </c>
      <c r="AC31" s="46">
        <f>COUNTIF(E3:E98,"OD")+COUNTIF(F3:F98,"OD")</f>
        <v>7</v>
      </c>
    </row>
    <row r="32" ht="15.75" customHeight="1">
      <c r="A32" s="25">
        <f t="shared" si="1"/>
        <v>4</v>
      </c>
      <c r="B32" s="25">
        <f t="shared" si="7"/>
        <v>10</v>
      </c>
      <c r="C32" s="26" t="s">
        <v>84</v>
      </c>
      <c r="D32" s="27" t="s">
        <v>144</v>
      </c>
      <c r="E32" s="28" t="s">
        <v>19</v>
      </c>
      <c r="F32" s="28" t="s">
        <v>70</v>
      </c>
      <c r="G32" s="29" t="s">
        <v>145</v>
      </c>
      <c r="H32" s="42" t="s">
        <v>21</v>
      </c>
      <c r="I32" s="31" t="s">
        <v>115</v>
      </c>
      <c r="J32" s="32" t="s">
        <v>85</v>
      </c>
      <c r="K32" s="42" t="s">
        <v>33</v>
      </c>
      <c r="L32" s="42"/>
      <c r="M32" s="42" t="s">
        <v>33</v>
      </c>
      <c r="N32" s="42" t="s">
        <v>33</v>
      </c>
      <c r="O32" s="42"/>
      <c r="P32" s="42" t="s">
        <v>33</v>
      </c>
      <c r="Q32" s="42" t="s">
        <v>33</v>
      </c>
      <c r="R32" s="42"/>
      <c r="S32" s="42" t="s">
        <v>21</v>
      </c>
      <c r="T32" s="42" t="s">
        <v>24</v>
      </c>
      <c r="U32" s="42" t="s">
        <v>30</v>
      </c>
      <c r="V32" s="30" t="s">
        <v>30</v>
      </c>
      <c r="W32" s="30" t="s">
        <v>30</v>
      </c>
      <c r="X32" s="33" t="str">
        <f t="shared" si="6"/>
        <v>#REF!</v>
      </c>
      <c r="Y32" s="49" t="s">
        <v>139</v>
      </c>
      <c r="Z32" s="46">
        <f>COUNTIF(G3:G98, "Me")</f>
        <v>9</v>
      </c>
      <c r="AA32" s="44"/>
      <c r="AB32" s="49" t="s">
        <v>140</v>
      </c>
      <c r="AC32" s="46">
        <f>COUNTIF(E3:E98,"RO")+COUNTIF(F3:F98,"RO")</f>
        <v>7</v>
      </c>
    </row>
    <row r="33" ht="15.75" customHeight="1">
      <c r="A33" s="25">
        <f t="shared" si="1"/>
        <v>4</v>
      </c>
      <c r="B33" s="25">
        <f t="shared" si="7"/>
        <v>11</v>
      </c>
      <c r="C33" s="26" t="s">
        <v>79</v>
      </c>
      <c r="D33" s="27" t="s">
        <v>221</v>
      </c>
      <c r="E33" s="28" t="s">
        <v>19</v>
      </c>
      <c r="F33" s="28"/>
      <c r="G33" s="29" t="s">
        <v>62</v>
      </c>
      <c r="H33" s="30" t="s">
        <v>30</v>
      </c>
      <c r="I33" s="31" t="s">
        <v>115</v>
      </c>
      <c r="J33" s="32" t="s">
        <v>85</v>
      </c>
      <c r="K33" s="30" t="s">
        <v>30</v>
      </c>
      <c r="L33" s="30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30" t="s">
        <v>30</v>
      </c>
      <c r="R33" s="30" t="s">
        <v>30</v>
      </c>
      <c r="S33" s="30" t="s">
        <v>30</v>
      </c>
      <c r="T33" s="30" t="s">
        <v>30</v>
      </c>
      <c r="U33" s="30" t="s">
        <v>30</v>
      </c>
      <c r="V33" s="30" t="s">
        <v>30</v>
      </c>
      <c r="W33" s="30" t="s">
        <v>30</v>
      </c>
      <c r="X33" s="33" t="str">
        <f t="shared" si="6"/>
        <v>#REF!</v>
      </c>
      <c r="Y33" s="49" t="s">
        <v>142</v>
      </c>
      <c r="Z33" s="46">
        <f>COUNTIF(G3:G98, "Pa")</f>
        <v>1</v>
      </c>
      <c r="AA33" s="44"/>
      <c r="AB33" s="49" t="s">
        <v>143</v>
      </c>
      <c r="AC33" s="46">
        <f>COUNTIF(E3:E98,"TE")+COUNTIF(F3:F98,"TE")</f>
        <v>8</v>
      </c>
    </row>
    <row r="34" ht="15.75" customHeight="1">
      <c r="A34" s="25">
        <f t="shared" si="1"/>
        <v>4</v>
      </c>
      <c r="B34" s="25">
        <f t="shared" si="7"/>
        <v>9</v>
      </c>
      <c r="C34" s="26" t="s">
        <v>64</v>
      </c>
      <c r="D34" s="27" t="s">
        <v>226</v>
      </c>
      <c r="E34" s="28" t="s">
        <v>56</v>
      </c>
      <c r="F34" s="28" t="s">
        <v>19</v>
      </c>
      <c r="G34" s="29" t="s">
        <v>227</v>
      </c>
      <c r="H34" s="30" t="s">
        <v>30</v>
      </c>
      <c r="I34" s="31" t="s">
        <v>115</v>
      </c>
      <c r="J34" s="32"/>
      <c r="K34" s="30" t="s">
        <v>30</v>
      </c>
      <c r="L34" s="30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30" t="s">
        <v>30</v>
      </c>
      <c r="R34" s="30" t="s">
        <v>30</v>
      </c>
      <c r="S34" s="30" t="s">
        <v>30</v>
      </c>
      <c r="T34" s="30" t="s">
        <v>30</v>
      </c>
      <c r="U34" s="30" t="s">
        <v>30</v>
      </c>
      <c r="V34" s="30" t="s">
        <v>30</v>
      </c>
      <c r="W34" s="30" t="s">
        <v>30</v>
      </c>
      <c r="X34" s="33" t="str">
        <f t="shared" si="6"/>
        <v>#REF!</v>
      </c>
      <c r="Y34" s="49" t="s">
        <v>146</v>
      </c>
      <c r="Z34" s="46">
        <f>COUNTIF(G3:G98, "Py")</f>
        <v>0</v>
      </c>
      <c r="AA34" s="44"/>
      <c r="AB34" s="49" t="s">
        <v>147</v>
      </c>
      <c r="AC34" s="46">
        <f>COUNTIF(E3:E98,"TS")+COUNTIF(F3:F98,"TS")</f>
        <v>2</v>
      </c>
    </row>
    <row r="35" ht="15.75" customHeight="1">
      <c r="A35" s="25">
        <f t="shared" si="1"/>
        <v>4</v>
      </c>
      <c r="B35" s="25">
        <f t="shared" si="7"/>
        <v>10</v>
      </c>
      <c r="C35" s="26" t="s">
        <v>84</v>
      </c>
      <c r="D35" s="27" t="s">
        <v>228</v>
      </c>
      <c r="E35" s="28" t="s">
        <v>61</v>
      </c>
      <c r="F35" s="28" t="s">
        <v>19</v>
      </c>
      <c r="G35" s="29" t="s">
        <v>71</v>
      </c>
      <c r="H35" s="30" t="s">
        <v>30</v>
      </c>
      <c r="I35" s="31" t="s">
        <v>115</v>
      </c>
      <c r="J35" s="32"/>
      <c r="K35" s="30" t="s">
        <v>30</v>
      </c>
      <c r="L35" s="30" t="s">
        <v>30</v>
      </c>
      <c r="M35" s="34" t="s">
        <v>30</v>
      </c>
      <c r="N35" s="30" t="s">
        <v>30</v>
      </c>
      <c r="O35" s="30" t="s">
        <v>30</v>
      </c>
      <c r="P35" s="30" t="s">
        <v>30</v>
      </c>
      <c r="Q35" s="30" t="s">
        <v>30</v>
      </c>
      <c r="R35" s="30" t="s">
        <v>30</v>
      </c>
      <c r="S35" s="30" t="s">
        <v>30</v>
      </c>
      <c r="T35" s="30" t="s">
        <v>30</v>
      </c>
      <c r="U35" s="30" t="s">
        <v>30</v>
      </c>
      <c r="V35" s="30" t="s">
        <v>30</v>
      </c>
      <c r="W35" s="30" t="s">
        <v>30</v>
      </c>
      <c r="X35" s="33" t="str">
        <f t="shared" si="6"/>
        <v>#REF!</v>
      </c>
      <c r="Y35" s="49" t="s">
        <v>150</v>
      </c>
      <c r="Z35" s="46">
        <f>COUNTIF(G3:G98, "Pe")</f>
        <v>3</v>
      </c>
      <c r="AA35" s="44"/>
      <c r="AB35" s="49"/>
      <c r="AC35" s="46"/>
    </row>
    <row r="36" ht="15.75" customHeight="1">
      <c r="A36" s="25">
        <f t="shared" si="1"/>
        <v>4</v>
      </c>
      <c r="B36" s="25">
        <f t="shared" si="7"/>
        <v>10</v>
      </c>
      <c r="C36" s="26" t="s">
        <v>84</v>
      </c>
      <c r="D36" s="27" t="s">
        <v>75</v>
      </c>
      <c r="E36" s="28" t="s">
        <v>70</v>
      </c>
      <c r="F36" s="28" t="s">
        <v>76</v>
      </c>
      <c r="G36" s="29" t="s">
        <v>71</v>
      </c>
      <c r="H36" s="30" t="s">
        <v>21</v>
      </c>
      <c r="I36" s="31" t="s">
        <v>115</v>
      </c>
      <c r="J36" s="32"/>
      <c r="K36" s="30" t="s">
        <v>21</v>
      </c>
      <c r="L36" s="30"/>
      <c r="M36" s="30" t="s">
        <v>21</v>
      </c>
      <c r="N36" s="30" t="s">
        <v>21</v>
      </c>
      <c r="O36" s="30"/>
      <c r="P36" s="30" t="s">
        <v>24</v>
      </c>
      <c r="Q36" s="30" t="s">
        <v>21</v>
      </c>
      <c r="R36" s="30"/>
      <c r="S36" s="30" t="s">
        <v>21</v>
      </c>
      <c r="T36" s="30" t="s">
        <v>21</v>
      </c>
      <c r="U36" s="30" t="s">
        <v>58</v>
      </c>
      <c r="V36" s="30" t="s">
        <v>21</v>
      </c>
      <c r="W36" s="30" t="s">
        <v>21</v>
      </c>
      <c r="X36" s="33" t="str">
        <f t="shared" si="6"/>
        <v>#REF!</v>
      </c>
      <c r="Y36" s="49" t="s">
        <v>152</v>
      </c>
      <c r="Z36" s="46">
        <f>COUNTIF(G3:G98, "US")</f>
        <v>1</v>
      </c>
      <c r="AA36" s="44"/>
      <c r="AB36" s="49"/>
      <c r="AC36" s="46"/>
    </row>
    <row r="37" ht="15.75" customHeight="1">
      <c r="A37" s="25">
        <f t="shared" si="1"/>
        <v>9</v>
      </c>
      <c r="B37" s="25">
        <f t="shared" si="7"/>
        <v>6</v>
      </c>
      <c r="C37" s="26" t="s">
        <v>113</v>
      </c>
      <c r="D37" s="27" t="s">
        <v>157</v>
      </c>
      <c r="E37" s="28" t="s">
        <v>48</v>
      </c>
      <c r="F37" s="28" t="s">
        <v>41</v>
      </c>
      <c r="G37" s="29" t="s">
        <v>20</v>
      </c>
      <c r="H37" s="30" t="s">
        <v>21</v>
      </c>
      <c r="I37" s="31" t="s">
        <v>158</v>
      </c>
      <c r="J37" s="32" t="s">
        <v>51</v>
      </c>
      <c r="K37" s="30" t="s">
        <v>21</v>
      </c>
      <c r="L37" s="30"/>
      <c r="M37" s="30" t="s">
        <v>21</v>
      </c>
      <c r="N37" s="30" t="s">
        <v>21</v>
      </c>
      <c r="O37" s="30"/>
      <c r="P37" s="30" t="s">
        <v>21</v>
      </c>
      <c r="Q37" s="30" t="s">
        <v>21</v>
      </c>
      <c r="R37" s="30"/>
      <c r="S37" s="30" t="s">
        <v>21</v>
      </c>
      <c r="T37" s="30" t="s">
        <v>21</v>
      </c>
      <c r="U37" s="30"/>
      <c r="V37" s="30" t="s">
        <v>21</v>
      </c>
      <c r="W37" s="30" t="s">
        <v>21</v>
      </c>
      <c r="X37" s="33" t="str">
        <f t="shared" si="6"/>
        <v>#REF!</v>
      </c>
      <c r="Y37" s="49" t="s">
        <v>154</v>
      </c>
      <c r="Z37" s="46">
        <f>COUNTIF(G3:G98, "Ve")</f>
        <v>18</v>
      </c>
      <c r="AA37" s="44"/>
      <c r="AB37" s="49"/>
      <c r="AC37" s="46"/>
    </row>
    <row r="38" ht="15.75" customHeight="1">
      <c r="A38" s="25">
        <f t="shared" si="1"/>
        <v>9</v>
      </c>
      <c r="B38" s="25">
        <f t="shared" si="7"/>
        <v>7</v>
      </c>
      <c r="C38" s="26" t="s">
        <v>46</v>
      </c>
      <c r="D38" s="27" t="s">
        <v>160</v>
      </c>
      <c r="E38" s="28" t="s">
        <v>61</v>
      </c>
      <c r="F38" s="28" t="s">
        <v>48</v>
      </c>
      <c r="G38" s="29" t="s">
        <v>149</v>
      </c>
      <c r="H38" s="30" t="s">
        <v>21</v>
      </c>
      <c r="I38" s="31" t="s">
        <v>158</v>
      </c>
      <c r="J38" s="32" t="s">
        <v>57</v>
      </c>
      <c r="K38" s="30" t="s">
        <v>21</v>
      </c>
      <c r="L38" s="30"/>
      <c r="M38" s="30" t="s">
        <v>21</v>
      </c>
      <c r="N38" s="30" t="s">
        <v>21</v>
      </c>
      <c r="O38" s="30"/>
      <c r="P38" s="30" t="s">
        <v>24</v>
      </c>
      <c r="Q38" s="30" t="s">
        <v>21</v>
      </c>
      <c r="R38" s="30"/>
      <c r="S38" s="30" t="s">
        <v>24</v>
      </c>
      <c r="T38" s="30" t="s">
        <v>24</v>
      </c>
      <c r="U38" s="30"/>
      <c r="V38" s="30" t="s">
        <v>24</v>
      </c>
      <c r="W38" s="30" t="s">
        <v>21</v>
      </c>
      <c r="X38" s="33" t="str">
        <f t="shared" si="6"/>
        <v>#REF!</v>
      </c>
      <c r="Y38" s="49" t="s">
        <v>156</v>
      </c>
      <c r="Z38" s="46">
        <f>COUNTIF(G3:G98, "PR")</f>
        <v>0</v>
      </c>
      <c r="AA38" s="44"/>
      <c r="AB38" s="44"/>
      <c r="AC38" s="44"/>
    </row>
    <row r="39" ht="15.75" customHeight="1">
      <c r="A39" s="25">
        <f t="shared" si="1"/>
        <v>9</v>
      </c>
      <c r="B39" s="25">
        <f t="shared" si="7"/>
        <v>7</v>
      </c>
      <c r="C39" s="26" t="s">
        <v>46</v>
      </c>
      <c r="D39" s="27" t="s">
        <v>162</v>
      </c>
      <c r="E39" s="28" t="s">
        <v>41</v>
      </c>
      <c r="F39" s="28" t="s">
        <v>28</v>
      </c>
      <c r="G39" s="29" t="s">
        <v>163</v>
      </c>
      <c r="H39" s="30" t="s">
        <v>21</v>
      </c>
      <c r="I39" s="31" t="s">
        <v>158</v>
      </c>
      <c r="J39" s="32" t="s">
        <v>63</v>
      </c>
      <c r="K39" s="30" t="s">
        <v>21</v>
      </c>
      <c r="L39" s="30"/>
      <c r="M39" s="30" t="s">
        <v>24</v>
      </c>
      <c r="N39" s="30" t="s">
        <v>21</v>
      </c>
      <c r="O39" s="30"/>
      <c r="P39" s="30" t="s">
        <v>24</v>
      </c>
      <c r="Q39" s="30" t="s">
        <v>21</v>
      </c>
      <c r="R39" s="30"/>
      <c r="S39" s="30" t="s">
        <v>24</v>
      </c>
      <c r="T39" s="30" t="s">
        <v>21</v>
      </c>
      <c r="U39" s="30"/>
      <c r="V39" s="30" t="s">
        <v>21</v>
      </c>
      <c r="W39" s="30" t="s">
        <v>21</v>
      </c>
      <c r="X39" s="33" t="str">
        <f t="shared" si="6"/>
        <v>#REF!</v>
      </c>
      <c r="Y39" s="49" t="s">
        <v>159</v>
      </c>
      <c r="Z39" s="46">
        <f>COUNTIF(G3:G98, "Bo")</f>
        <v>1</v>
      </c>
      <c r="AA39" s="44"/>
      <c r="AB39" s="44"/>
      <c r="AC39" s="44"/>
    </row>
    <row r="40" ht="15.75" customHeight="1">
      <c r="A40" s="25">
        <f t="shared" si="1"/>
        <v>9</v>
      </c>
      <c r="B40" s="25">
        <f t="shared" si="7"/>
        <v>10</v>
      </c>
      <c r="C40" s="26" t="s">
        <v>84</v>
      </c>
      <c r="D40" s="27" t="s">
        <v>164</v>
      </c>
      <c r="E40" s="28" t="s">
        <v>41</v>
      </c>
      <c r="F40" s="28" t="s">
        <v>28</v>
      </c>
      <c r="G40" s="29" t="s">
        <v>20</v>
      </c>
      <c r="H40" s="30" t="s">
        <v>21</v>
      </c>
      <c r="I40" s="31" t="s">
        <v>158</v>
      </c>
      <c r="J40" s="32" t="s">
        <v>68</v>
      </c>
      <c r="K40" s="30" t="s">
        <v>21</v>
      </c>
      <c r="L40" s="30"/>
      <c r="M40" s="30" t="s">
        <v>21</v>
      </c>
      <c r="N40" s="30" t="s">
        <v>21</v>
      </c>
      <c r="O40" s="30" t="s">
        <v>58</v>
      </c>
      <c r="P40" s="30" t="s">
        <v>21</v>
      </c>
      <c r="Q40" s="30" t="s">
        <v>21</v>
      </c>
      <c r="R40" s="30"/>
      <c r="S40" s="30" t="s">
        <v>21</v>
      </c>
      <c r="T40" s="30" t="s">
        <v>21</v>
      </c>
      <c r="U40" s="30"/>
      <c r="V40" s="30" t="s">
        <v>21</v>
      </c>
      <c r="W40" s="30" t="s">
        <v>21</v>
      </c>
      <c r="X40" s="33" t="str">
        <f t="shared" si="6"/>
        <v>#REF!</v>
      </c>
      <c r="Y40" s="49" t="s">
        <v>161</v>
      </c>
      <c r="Z40" s="46">
        <f>COUNTIF(G3:G99, "RD")</f>
        <v>1</v>
      </c>
    </row>
    <row r="41" ht="15.75" customHeight="1">
      <c r="A41" s="25">
        <f t="shared" si="1"/>
        <v>9</v>
      </c>
      <c r="B41" s="25">
        <f t="shared" si="7"/>
        <v>9</v>
      </c>
      <c r="C41" s="26" t="s">
        <v>64</v>
      </c>
      <c r="D41" s="27" t="s">
        <v>165</v>
      </c>
      <c r="E41" s="28" t="s">
        <v>61</v>
      </c>
      <c r="F41" s="28" t="s">
        <v>41</v>
      </c>
      <c r="G41" s="29" t="s">
        <v>71</v>
      </c>
      <c r="H41" s="30" t="s">
        <v>21</v>
      </c>
      <c r="I41" s="31" t="s">
        <v>158</v>
      </c>
      <c r="J41" s="32" t="s">
        <v>85</v>
      </c>
      <c r="K41" s="30" t="s">
        <v>21</v>
      </c>
      <c r="L41" s="30"/>
      <c r="M41" s="30" t="s">
        <v>21</v>
      </c>
      <c r="N41" s="30" t="s">
        <v>21</v>
      </c>
      <c r="O41" s="30"/>
      <c r="P41" s="30" t="s">
        <v>24</v>
      </c>
      <c r="Q41" s="30" t="s">
        <v>21</v>
      </c>
      <c r="R41" s="30"/>
      <c r="S41" s="30" t="s">
        <v>21</v>
      </c>
      <c r="T41" s="30" t="s">
        <v>21</v>
      </c>
      <c r="U41" s="30"/>
      <c r="V41" s="30" t="s">
        <v>21</v>
      </c>
      <c r="W41" s="30" t="s">
        <v>21</v>
      </c>
      <c r="X41" s="33" t="str">
        <f t="shared" si="6"/>
        <v>#REF!</v>
      </c>
    </row>
    <row r="42" ht="15.75" customHeight="1">
      <c r="A42" s="25">
        <f t="shared" si="1"/>
        <v>9</v>
      </c>
      <c r="B42" s="25">
        <f t="shared" si="7"/>
        <v>11</v>
      </c>
      <c r="C42" s="26" t="s">
        <v>79</v>
      </c>
      <c r="D42" s="27" t="s">
        <v>166</v>
      </c>
      <c r="E42" s="28" t="s">
        <v>19</v>
      </c>
      <c r="F42" s="28"/>
      <c r="G42" s="29" t="s">
        <v>71</v>
      </c>
      <c r="H42" s="42" t="s">
        <v>21</v>
      </c>
      <c r="I42" s="31" t="s">
        <v>158</v>
      </c>
      <c r="J42" s="32" t="s">
        <v>85</v>
      </c>
      <c r="K42" s="42" t="s">
        <v>21</v>
      </c>
      <c r="L42" s="42"/>
      <c r="M42" s="42" t="s">
        <v>21</v>
      </c>
      <c r="N42" s="42" t="s">
        <v>21</v>
      </c>
      <c r="O42" s="42" t="s">
        <v>58</v>
      </c>
      <c r="P42" s="42" t="s">
        <v>21</v>
      </c>
      <c r="Q42" s="42" t="s">
        <v>21</v>
      </c>
      <c r="R42" s="42"/>
      <c r="S42" s="42" t="s">
        <v>21</v>
      </c>
      <c r="T42" s="42" t="s">
        <v>21</v>
      </c>
      <c r="U42" s="42"/>
      <c r="V42" s="42" t="s">
        <v>21</v>
      </c>
      <c r="W42" s="42" t="s">
        <v>21</v>
      </c>
      <c r="X42" s="33" t="str">
        <f t="shared" si="6"/>
        <v>#REF!</v>
      </c>
      <c r="Y42" s="55" t="s">
        <v>167</v>
      </c>
      <c r="Z42" s="5"/>
      <c r="AA42" s="47"/>
      <c r="AB42" s="55" t="s">
        <v>168</v>
      </c>
      <c r="AC42" s="57"/>
    </row>
    <row r="43" ht="15.75" customHeight="1">
      <c r="A43" s="25">
        <f t="shared" si="1"/>
        <v>9</v>
      </c>
      <c r="B43" s="25">
        <f t="shared" si="7"/>
        <v>6</v>
      </c>
      <c r="C43" s="26" t="s">
        <v>113</v>
      </c>
      <c r="D43" s="27" t="s">
        <v>169</v>
      </c>
      <c r="E43" s="28" t="s">
        <v>41</v>
      </c>
      <c r="F43" s="28" t="s">
        <v>19</v>
      </c>
      <c r="G43" s="29" t="s">
        <v>20</v>
      </c>
      <c r="H43" s="30" t="s">
        <v>30</v>
      </c>
      <c r="I43" s="31" t="s">
        <v>158</v>
      </c>
      <c r="J43" s="32"/>
      <c r="K43" s="30" t="s">
        <v>30</v>
      </c>
      <c r="L43" s="30" t="s">
        <v>30</v>
      </c>
      <c r="M43" s="30" t="s">
        <v>30</v>
      </c>
      <c r="N43" s="30" t="s">
        <v>30</v>
      </c>
      <c r="O43" s="30" t="s">
        <v>30</v>
      </c>
      <c r="P43" s="30" t="s">
        <v>30</v>
      </c>
      <c r="Q43" s="30" t="s">
        <v>30</v>
      </c>
      <c r="R43" s="30" t="s">
        <v>30</v>
      </c>
      <c r="S43" s="30" t="s">
        <v>30</v>
      </c>
      <c r="T43" s="30" t="s">
        <v>30</v>
      </c>
      <c r="U43" s="30" t="s">
        <v>30</v>
      </c>
      <c r="V43" s="30" t="s">
        <v>30</v>
      </c>
      <c r="W43" s="30" t="s">
        <v>30</v>
      </c>
      <c r="X43" s="33" t="str">
        <f t="shared" si="6"/>
        <v>#REF!</v>
      </c>
      <c r="Y43" s="56" t="s">
        <v>9</v>
      </c>
      <c r="Z43" s="57"/>
      <c r="AA43" s="58" t="s">
        <v>170</v>
      </c>
      <c r="AB43" s="58" t="s">
        <v>171</v>
      </c>
      <c r="AC43" s="58" t="s">
        <v>176</v>
      </c>
    </row>
    <row r="44" ht="15.75" customHeight="1">
      <c r="A44" s="25">
        <f t="shared" si="1"/>
        <v>9</v>
      </c>
      <c r="B44" s="25">
        <f t="shared" si="7"/>
        <v>7</v>
      </c>
      <c r="C44" s="26" t="s">
        <v>46</v>
      </c>
      <c r="D44" s="27" t="s">
        <v>173</v>
      </c>
      <c r="E44" s="28" t="s">
        <v>76</v>
      </c>
      <c r="F44" s="28" t="s">
        <v>56</v>
      </c>
      <c r="G44" s="29" t="s">
        <v>20</v>
      </c>
      <c r="H44" s="30" t="s">
        <v>30</v>
      </c>
      <c r="I44" s="31" t="s">
        <v>158</v>
      </c>
      <c r="J44" s="32"/>
      <c r="K44" s="30" t="s">
        <v>30</v>
      </c>
      <c r="L44" s="30" t="s">
        <v>30</v>
      </c>
      <c r="M44" s="30" t="s">
        <v>30</v>
      </c>
      <c r="N44" s="30" t="s">
        <v>30</v>
      </c>
      <c r="O44" s="30" t="s">
        <v>30</v>
      </c>
      <c r="P44" s="30" t="s">
        <v>30</v>
      </c>
      <c r="Q44" s="30" t="s">
        <v>30</v>
      </c>
      <c r="R44" s="30" t="s">
        <v>30</v>
      </c>
      <c r="S44" s="30" t="s">
        <v>30</v>
      </c>
      <c r="T44" s="30" t="s">
        <v>30</v>
      </c>
      <c r="U44" s="30" t="s">
        <v>30</v>
      </c>
      <c r="V44" s="30" t="s">
        <v>30</v>
      </c>
      <c r="W44" s="30" t="s">
        <v>30</v>
      </c>
      <c r="X44" s="33" t="str">
        <f t="shared" si="6"/>
        <v>#REF!</v>
      </c>
      <c r="Y44" s="59" t="s">
        <v>250</v>
      </c>
      <c r="Z44" s="57"/>
      <c r="AA44" s="60">
        <v>43342.0</v>
      </c>
      <c r="AB44" s="61" t="s">
        <v>179</v>
      </c>
      <c r="AC44" s="61" t="s">
        <v>179</v>
      </c>
    </row>
    <row r="45" ht="15.75" customHeight="1">
      <c r="A45" s="25">
        <f t="shared" si="1"/>
        <v>9</v>
      </c>
      <c r="B45" s="25">
        <f t="shared" si="7"/>
        <v>7</v>
      </c>
      <c r="C45" s="26" t="s">
        <v>46</v>
      </c>
      <c r="D45" s="27" t="s">
        <v>174</v>
      </c>
      <c r="E45" s="28" t="s">
        <v>29</v>
      </c>
      <c r="F45" s="28" t="s">
        <v>28</v>
      </c>
      <c r="G45" s="29" t="s">
        <v>71</v>
      </c>
      <c r="H45" s="42" t="s">
        <v>21</v>
      </c>
      <c r="I45" s="31" t="s">
        <v>158</v>
      </c>
      <c r="J45" s="32"/>
      <c r="K45" s="42" t="s">
        <v>30</v>
      </c>
      <c r="L45" s="42" t="s">
        <v>30</v>
      </c>
      <c r="M45" s="42" t="s">
        <v>30</v>
      </c>
      <c r="N45" s="42" t="s">
        <v>30</v>
      </c>
      <c r="O45" s="42" t="s">
        <v>30</v>
      </c>
      <c r="P45" s="42" t="s">
        <v>30</v>
      </c>
      <c r="Q45" s="42" t="s">
        <v>30</v>
      </c>
      <c r="R45" s="42" t="s">
        <v>30</v>
      </c>
      <c r="S45" s="42" t="s">
        <v>30</v>
      </c>
      <c r="T45" s="42" t="s">
        <v>30</v>
      </c>
      <c r="U45" s="42" t="s">
        <v>30</v>
      </c>
      <c r="V45" s="42" t="s">
        <v>30</v>
      </c>
      <c r="W45" s="42" t="s">
        <v>30</v>
      </c>
      <c r="X45" s="33" t="str">
        <f t="shared" si="6"/>
        <v>#REF!</v>
      </c>
      <c r="Y45" s="59" t="s">
        <v>251</v>
      </c>
      <c r="Z45" s="57"/>
      <c r="AA45" s="60">
        <v>43319.0</v>
      </c>
      <c r="AB45" s="61" t="s">
        <v>179</v>
      </c>
      <c r="AC45" s="61"/>
    </row>
    <row r="46" ht="15.75" customHeight="1">
      <c r="A46" s="25">
        <f t="shared" si="1"/>
        <v>9</v>
      </c>
      <c r="B46" s="25">
        <f t="shared" si="7"/>
        <v>9</v>
      </c>
      <c r="C46" s="26" t="s">
        <v>64</v>
      </c>
      <c r="D46" s="27" t="s">
        <v>175</v>
      </c>
      <c r="E46" s="28" t="s">
        <v>70</v>
      </c>
      <c r="F46" s="28" t="s">
        <v>41</v>
      </c>
      <c r="G46" s="29" t="s">
        <v>49</v>
      </c>
      <c r="H46" s="30" t="s">
        <v>30</v>
      </c>
      <c r="I46" s="31" t="s">
        <v>158</v>
      </c>
      <c r="J46" s="32"/>
      <c r="K46" s="30" t="s">
        <v>30</v>
      </c>
      <c r="L46" s="30" t="s">
        <v>30</v>
      </c>
      <c r="M46" s="30" t="s">
        <v>30</v>
      </c>
      <c r="N46" s="30" t="s">
        <v>30</v>
      </c>
      <c r="O46" s="30" t="s">
        <v>30</v>
      </c>
      <c r="P46" s="30" t="s">
        <v>30</v>
      </c>
      <c r="Q46" s="30" t="s">
        <v>30</v>
      </c>
      <c r="R46" s="30" t="s">
        <v>30</v>
      </c>
      <c r="S46" s="30" t="s">
        <v>30</v>
      </c>
      <c r="T46" s="30" t="s">
        <v>30</v>
      </c>
      <c r="U46" s="30" t="s">
        <v>30</v>
      </c>
      <c r="V46" s="30" t="s">
        <v>30</v>
      </c>
      <c r="W46" s="30" t="s">
        <v>30</v>
      </c>
      <c r="X46" s="33" t="str">
        <f t="shared" si="6"/>
        <v>#REF!</v>
      </c>
      <c r="Y46" s="59"/>
      <c r="Z46" s="57"/>
      <c r="AA46" s="60"/>
      <c r="AB46" s="61"/>
      <c r="AC46" s="61"/>
    </row>
    <row r="47" ht="15.75" customHeight="1">
      <c r="A47" s="25">
        <f t="shared" si="1"/>
        <v>9</v>
      </c>
      <c r="B47" s="25">
        <f t="shared" si="7"/>
        <v>10</v>
      </c>
      <c r="C47" s="26" t="s">
        <v>84</v>
      </c>
      <c r="D47" s="27" t="s">
        <v>177</v>
      </c>
      <c r="E47" s="28" t="s">
        <v>19</v>
      </c>
      <c r="F47" s="28" t="s">
        <v>70</v>
      </c>
      <c r="G47" s="29" t="s">
        <v>71</v>
      </c>
      <c r="H47" s="30" t="s">
        <v>21</v>
      </c>
      <c r="I47" s="31" t="s">
        <v>158</v>
      </c>
      <c r="J47" s="32"/>
      <c r="K47" s="30" t="s">
        <v>30</v>
      </c>
      <c r="L47" s="30"/>
      <c r="M47" s="30" t="s">
        <v>21</v>
      </c>
      <c r="N47" s="30" t="s">
        <v>21</v>
      </c>
      <c r="O47" s="30"/>
      <c r="P47" s="30" t="s">
        <v>21</v>
      </c>
      <c r="Q47" s="30" t="s">
        <v>21</v>
      </c>
      <c r="R47" s="30"/>
      <c r="S47" s="30" t="s">
        <v>24</v>
      </c>
      <c r="T47" s="30" t="s">
        <v>21</v>
      </c>
      <c r="U47" s="30"/>
      <c r="V47" s="30" t="s">
        <v>21</v>
      </c>
      <c r="W47" s="30" t="s">
        <v>21</v>
      </c>
      <c r="X47" s="33" t="str">
        <f t="shared" si="6"/>
        <v>#REF!</v>
      </c>
      <c r="Y47" s="59"/>
      <c r="Z47" s="57"/>
      <c r="AA47" s="60"/>
      <c r="AB47" s="61"/>
      <c r="AC47" s="61"/>
    </row>
    <row r="48" ht="15.75" customHeight="1">
      <c r="A48" s="25">
        <f t="shared" si="1"/>
        <v>11</v>
      </c>
      <c r="B48" s="25">
        <f t="shared" si="7"/>
        <v>6</v>
      </c>
      <c r="C48" s="26" t="s">
        <v>113</v>
      </c>
      <c r="D48" s="27" t="s">
        <v>180</v>
      </c>
      <c r="E48" s="28" t="s">
        <v>48</v>
      </c>
      <c r="F48" s="28" t="s">
        <v>28</v>
      </c>
      <c r="G48" s="29" t="s">
        <v>20</v>
      </c>
      <c r="H48" s="34" t="s">
        <v>21</v>
      </c>
      <c r="I48" s="31" t="s">
        <v>89</v>
      </c>
      <c r="J48" s="32" t="s">
        <v>68</v>
      </c>
      <c r="K48" s="30" t="s">
        <v>24</v>
      </c>
      <c r="L48" s="30"/>
      <c r="M48" s="30" t="s">
        <v>24</v>
      </c>
      <c r="N48" s="30" t="s">
        <v>21</v>
      </c>
      <c r="O48" s="30"/>
      <c r="P48" s="30" t="s">
        <v>24</v>
      </c>
      <c r="Q48" s="30" t="s">
        <v>21</v>
      </c>
      <c r="R48" s="30"/>
      <c r="S48" s="30" t="s">
        <v>21</v>
      </c>
      <c r="T48" s="30" t="s">
        <v>21</v>
      </c>
      <c r="U48" s="30"/>
      <c r="V48" s="30" t="s">
        <v>21</v>
      </c>
      <c r="W48" s="30" t="s">
        <v>21</v>
      </c>
      <c r="X48" s="33" t="str">
        <f t="shared" si="6"/>
        <v>#REF!</v>
      </c>
      <c r="Y48" s="59"/>
      <c r="Z48" s="57"/>
      <c r="AA48" s="60"/>
      <c r="AB48" s="61"/>
      <c r="AC48" s="61"/>
    </row>
    <row r="49" ht="15.75" customHeight="1">
      <c r="A49" s="25">
        <f t="shared" si="1"/>
        <v>11</v>
      </c>
      <c r="B49" s="25">
        <f t="shared" si="7"/>
        <v>6</v>
      </c>
      <c r="C49" s="26" t="s">
        <v>113</v>
      </c>
      <c r="D49" s="27" t="s">
        <v>185</v>
      </c>
      <c r="E49" s="28" t="s">
        <v>70</v>
      </c>
      <c r="F49" s="28" t="s">
        <v>19</v>
      </c>
      <c r="G49" s="29" t="s">
        <v>71</v>
      </c>
      <c r="H49" s="30" t="s">
        <v>21</v>
      </c>
      <c r="I49" s="31" t="s">
        <v>89</v>
      </c>
      <c r="J49" s="32"/>
      <c r="K49" s="30" t="s">
        <v>37</v>
      </c>
      <c r="L49" s="30"/>
      <c r="M49" s="30" t="s">
        <v>21</v>
      </c>
      <c r="N49" s="30" t="s">
        <v>21</v>
      </c>
      <c r="O49" s="30" t="s">
        <v>58</v>
      </c>
      <c r="P49" s="30" t="s">
        <v>21</v>
      </c>
      <c r="Q49" s="30" t="s">
        <v>21</v>
      </c>
      <c r="R49" s="30"/>
      <c r="S49" s="30" t="s">
        <v>21</v>
      </c>
      <c r="T49" s="30" t="s">
        <v>21</v>
      </c>
      <c r="U49" s="30"/>
      <c r="V49" s="30" t="s">
        <v>21</v>
      </c>
      <c r="W49" s="30" t="s">
        <v>21</v>
      </c>
      <c r="X49" s="33" t="str">
        <f t="shared" si="6"/>
        <v>#REF!</v>
      </c>
      <c r="Y49" s="59"/>
      <c r="Z49" s="57"/>
      <c r="AA49" s="60"/>
      <c r="AB49" s="61"/>
      <c r="AC49" s="61"/>
    </row>
    <row r="50" ht="15.75" customHeight="1">
      <c r="A50" s="25">
        <f t="shared" si="1"/>
        <v>11</v>
      </c>
      <c r="B50" s="25">
        <f t="shared" si="7"/>
        <v>9</v>
      </c>
      <c r="C50" s="26" t="s">
        <v>64</v>
      </c>
      <c r="D50" s="27" t="s">
        <v>187</v>
      </c>
      <c r="E50" s="28" t="s">
        <v>61</v>
      </c>
      <c r="F50" s="28" t="s">
        <v>41</v>
      </c>
      <c r="G50" s="29" t="s">
        <v>163</v>
      </c>
      <c r="H50" s="30" t="s">
        <v>30</v>
      </c>
      <c r="I50" s="31" t="s">
        <v>89</v>
      </c>
      <c r="J50" s="32"/>
      <c r="K50" s="30" t="s">
        <v>30</v>
      </c>
      <c r="L50" s="30" t="s">
        <v>30</v>
      </c>
      <c r="M50" s="30" t="s">
        <v>30</v>
      </c>
      <c r="N50" s="30" t="s">
        <v>30</v>
      </c>
      <c r="O50" s="30" t="s">
        <v>30</v>
      </c>
      <c r="P50" s="30" t="s">
        <v>30</v>
      </c>
      <c r="Q50" s="30" t="s">
        <v>30</v>
      </c>
      <c r="R50" s="30" t="s">
        <v>30</v>
      </c>
      <c r="S50" s="30" t="s">
        <v>30</v>
      </c>
      <c r="T50" s="30" t="s">
        <v>30</v>
      </c>
      <c r="U50" s="30" t="s">
        <v>30</v>
      </c>
      <c r="V50" s="30" t="s">
        <v>30</v>
      </c>
      <c r="W50" s="30" t="s">
        <v>30</v>
      </c>
      <c r="X50" s="33" t="str">
        <f t="shared" si="6"/>
        <v>#REF!</v>
      </c>
      <c r="Y50" s="59"/>
      <c r="Z50" s="57"/>
      <c r="AA50" s="60"/>
      <c r="AB50" s="61"/>
      <c r="AC50" s="61"/>
    </row>
    <row r="51" ht="15.75" customHeight="1">
      <c r="A51" s="25">
        <f t="shared" si="1"/>
        <v>12</v>
      </c>
      <c r="B51" s="25">
        <f t="shared" si="7"/>
        <v>7</v>
      </c>
      <c r="C51" s="26" t="s">
        <v>46</v>
      </c>
      <c r="D51" s="27" t="s">
        <v>188</v>
      </c>
      <c r="E51" s="28" t="s">
        <v>41</v>
      </c>
      <c r="F51" s="28" t="s">
        <v>61</v>
      </c>
      <c r="G51" s="29" t="s">
        <v>62</v>
      </c>
      <c r="H51" s="30" t="s">
        <v>21</v>
      </c>
      <c r="I51" s="31" t="s">
        <v>92</v>
      </c>
      <c r="J51" s="32" t="s">
        <v>189</v>
      </c>
      <c r="K51" s="30" t="s">
        <v>21</v>
      </c>
      <c r="L51" s="30"/>
      <c r="M51" s="30" t="s">
        <v>21</v>
      </c>
      <c r="N51" s="30" t="s">
        <v>21</v>
      </c>
      <c r="O51" s="30"/>
      <c r="P51" s="30" t="s">
        <v>21</v>
      </c>
      <c r="Q51" s="30" t="s">
        <v>21</v>
      </c>
      <c r="R51" s="30"/>
      <c r="S51" s="30" t="s">
        <v>24</v>
      </c>
      <c r="T51" s="30" t="s">
        <v>21</v>
      </c>
      <c r="U51" s="30"/>
      <c r="V51" s="30" t="s">
        <v>21</v>
      </c>
      <c r="W51" s="30" t="s">
        <v>21</v>
      </c>
      <c r="X51" s="33" t="str">
        <f t="shared" si="6"/>
        <v>#REF!</v>
      </c>
      <c r="Y51" s="59"/>
      <c r="Z51" s="57"/>
      <c r="AA51" s="60"/>
      <c r="AB51" s="61"/>
      <c r="AC51" s="61"/>
    </row>
    <row r="52" ht="15.75" customHeight="1">
      <c r="A52" s="25">
        <f t="shared" si="1"/>
        <v>12</v>
      </c>
      <c r="B52" s="25">
        <f t="shared" si="7"/>
        <v>6</v>
      </c>
      <c r="C52" s="26" t="s">
        <v>113</v>
      </c>
      <c r="D52" s="27" t="s">
        <v>190</v>
      </c>
      <c r="E52" s="28" t="s">
        <v>70</v>
      </c>
      <c r="F52" s="28" t="s">
        <v>48</v>
      </c>
      <c r="G52" s="29" t="s">
        <v>191</v>
      </c>
      <c r="H52" s="30" t="s">
        <v>21</v>
      </c>
      <c r="I52" s="31" t="s">
        <v>92</v>
      </c>
      <c r="J52" s="32" t="s">
        <v>192</v>
      </c>
      <c r="K52" s="30" t="s">
        <v>21</v>
      </c>
      <c r="L52" s="30"/>
      <c r="M52" s="30" t="s">
        <v>21</v>
      </c>
      <c r="N52" s="30" t="s">
        <v>21</v>
      </c>
      <c r="O52" s="30" t="s">
        <v>58</v>
      </c>
      <c r="P52" s="30" t="s">
        <v>21</v>
      </c>
      <c r="Q52" s="30" t="s">
        <v>21</v>
      </c>
      <c r="R52" s="30"/>
      <c r="S52" s="30" t="s">
        <v>21</v>
      </c>
      <c r="T52" s="30" t="s">
        <v>24</v>
      </c>
      <c r="U52" s="30"/>
      <c r="V52" s="30" t="s">
        <v>21</v>
      </c>
      <c r="W52" s="30" t="s">
        <v>21</v>
      </c>
      <c r="X52" s="33" t="str">
        <f t="shared" si="6"/>
        <v>#REF!</v>
      </c>
      <c r="Y52" s="59"/>
      <c r="Z52" s="57"/>
      <c r="AA52" s="60"/>
      <c r="AB52" s="61"/>
      <c r="AC52" s="61"/>
    </row>
    <row r="53" ht="15.75" customHeight="1">
      <c r="A53" s="25">
        <f t="shared" si="1"/>
        <v>12</v>
      </c>
      <c r="B53" s="25">
        <f t="shared" si="7"/>
        <v>8</v>
      </c>
      <c r="C53" s="26" t="s">
        <v>54</v>
      </c>
      <c r="D53" s="27" t="s">
        <v>193</v>
      </c>
      <c r="E53" s="28" t="s">
        <v>19</v>
      </c>
      <c r="F53" s="28"/>
      <c r="G53" s="29" t="s">
        <v>49</v>
      </c>
      <c r="H53" s="30" t="s">
        <v>30</v>
      </c>
      <c r="I53" s="31" t="s">
        <v>92</v>
      </c>
      <c r="J53" s="32" t="s">
        <v>194</v>
      </c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3" t="str">
        <f t="shared" si="6"/>
        <v>#REF!</v>
      </c>
      <c r="Y53" s="59"/>
      <c r="Z53" s="57"/>
      <c r="AA53" s="60"/>
      <c r="AB53" s="61"/>
      <c r="AC53" s="61"/>
    </row>
    <row r="54" ht="15.75" customHeight="1">
      <c r="A54" s="25">
        <f t="shared" si="1"/>
        <v>12</v>
      </c>
      <c r="B54" s="25">
        <f t="shared" si="7"/>
        <v>6</v>
      </c>
      <c r="C54" s="26" t="s">
        <v>113</v>
      </c>
      <c r="D54" s="27" t="s">
        <v>196</v>
      </c>
      <c r="E54" s="28" t="s">
        <v>70</v>
      </c>
      <c r="F54" s="28" t="s">
        <v>61</v>
      </c>
      <c r="G54" s="29" t="s">
        <v>20</v>
      </c>
      <c r="H54" s="30" t="s">
        <v>21</v>
      </c>
      <c r="I54" s="31" t="s">
        <v>92</v>
      </c>
      <c r="J54" s="32" t="s">
        <v>197</v>
      </c>
      <c r="K54" s="30" t="s">
        <v>24</v>
      </c>
      <c r="L54" s="30"/>
      <c r="M54" s="30" t="s">
        <v>21</v>
      </c>
      <c r="N54" s="30" t="s">
        <v>21</v>
      </c>
      <c r="O54" s="30" t="s">
        <v>58</v>
      </c>
      <c r="P54" s="30" t="s">
        <v>21</v>
      </c>
      <c r="Q54" s="30" t="s">
        <v>21</v>
      </c>
      <c r="R54" s="30"/>
      <c r="S54" s="30" t="s">
        <v>21</v>
      </c>
      <c r="T54" s="30" t="s">
        <v>21</v>
      </c>
      <c r="U54" s="30"/>
      <c r="V54" s="30" t="s">
        <v>24</v>
      </c>
      <c r="W54" s="30" t="s">
        <v>24</v>
      </c>
      <c r="X54" s="33" t="str">
        <f t="shared" si="6"/>
        <v>#REF!</v>
      </c>
      <c r="Y54" s="59"/>
      <c r="Z54" s="57"/>
      <c r="AA54" s="60"/>
      <c r="AB54" s="61"/>
      <c r="AC54" s="61"/>
    </row>
    <row r="55" ht="15.75" customHeight="1">
      <c r="A55" s="25">
        <f t="shared" si="1"/>
        <v>12</v>
      </c>
      <c r="B55" s="25">
        <f t="shared" si="7"/>
        <v>9</v>
      </c>
      <c r="C55" s="26" t="s">
        <v>64</v>
      </c>
      <c r="D55" s="62" t="s">
        <v>198</v>
      </c>
      <c r="E55" s="28" t="s">
        <v>70</v>
      </c>
      <c r="F55" s="28" t="s">
        <v>61</v>
      </c>
      <c r="G55" s="29" t="s">
        <v>71</v>
      </c>
      <c r="H55" s="30" t="s">
        <v>21</v>
      </c>
      <c r="I55" s="31" t="s">
        <v>92</v>
      </c>
      <c r="J55" s="32" t="s">
        <v>199</v>
      </c>
      <c r="K55" s="30" t="s">
        <v>21</v>
      </c>
      <c r="L55" s="30"/>
      <c r="M55" s="30" t="s">
        <v>21</v>
      </c>
      <c r="N55" s="30" t="s">
        <v>21</v>
      </c>
      <c r="O55" s="30" t="s">
        <v>58</v>
      </c>
      <c r="P55" s="30" t="s">
        <v>21</v>
      </c>
      <c r="Q55" s="30" t="s">
        <v>21</v>
      </c>
      <c r="R55" s="30"/>
      <c r="S55" s="30" t="s">
        <v>21</v>
      </c>
      <c r="T55" s="30" t="s">
        <v>21</v>
      </c>
      <c r="U55" s="30"/>
      <c r="V55" s="30" t="s">
        <v>21</v>
      </c>
      <c r="W55" s="30" t="s">
        <v>21</v>
      </c>
      <c r="X55" s="33" t="str">
        <f t="shared" si="6"/>
        <v>#REF!</v>
      </c>
      <c r="Y55" s="59"/>
      <c r="Z55" s="57"/>
      <c r="AA55" s="60"/>
      <c r="AB55" s="61"/>
      <c r="AC55" s="61"/>
    </row>
    <row r="56" ht="15.75" customHeight="1">
      <c r="A56" s="25">
        <f t="shared" si="1"/>
        <v>12</v>
      </c>
      <c r="B56" s="25">
        <f t="shared" si="7"/>
        <v>10</v>
      </c>
      <c r="C56" s="26" t="s">
        <v>84</v>
      </c>
      <c r="D56" s="27" t="s">
        <v>200</v>
      </c>
      <c r="E56" s="28" t="s">
        <v>19</v>
      </c>
      <c r="F56" s="28" t="s">
        <v>70</v>
      </c>
      <c r="G56" s="29" t="s">
        <v>71</v>
      </c>
      <c r="H56" s="30" t="s">
        <v>21</v>
      </c>
      <c r="I56" s="31" t="s">
        <v>92</v>
      </c>
      <c r="J56" s="32" t="s">
        <v>199</v>
      </c>
      <c r="K56" s="30" t="s">
        <v>24</v>
      </c>
      <c r="L56" s="30"/>
      <c r="M56" s="30" t="s">
        <v>24</v>
      </c>
      <c r="N56" s="30" t="s">
        <v>21</v>
      </c>
      <c r="O56" s="30" t="s">
        <v>58</v>
      </c>
      <c r="P56" s="30" t="s">
        <v>21</v>
      </c>
      <c r="Q56" s="30" t="s">
        <v>21</v>
      </c>
      <c r="R56" s="30"/>
      <c r="S56" s="30" t="s">
        <v>24</v>
      </c>
      <c r="T56" s="30" t="s">
        <v>21</v>
      </c>
      <c r="U56" s="30"/>
      <c r="V56" s="30" t="s">
        <v>21</v>
      </c>
      <c r="W56" s="30" t="s">
        <v>21</v>
      </c>
      <c r="X56" s="33" t="str">
        <f t="shared" si="6"/>
        <v>#REF!</v>
      </c>
      <c r="Y56" s="59"/>
      <c r="Z56" s="57"/>
      <c r="AA56" s="60"/>
      <c r="AB56" s="61"/>
      <c r="AC56" s="61"/>
    </row>
    <row r="57" ht="15.75" customHeight="1">
      <c r="A57" s="25">
        <f t="shared" si="1"/>
        <v>12</v>
      </c>
      <c r="B57" s="25">
        <f t="shared" si="7"/>
        <v>10</v>
      </c>
      <c r="C57" s="26" t="s">
        <v>84</v>
      </c>
      <c r="D57" s="27" t="s">
        <v>201</v>
      </c>
      <c r="E57" s="28" t="s">
        <v>19</v>
      </c>
      <c r="F57" s="28"/>
      <c r="G57" s="29" t="s">
        <v>62</v>
      </c>
      <c r="H57" s="30" t="s">
        <v>21</v>
      </c>
      <c r="I57" s="31" t="s">
        <v>92</v>
      </c>
      <c r="J57" s="32" t="s">
        <v>202</v>
      </c>
      <c r="K57" s="30" t="s">
        <v>21</v>
      </c>
      <c r="L57" s="63"/>
      <c r="M57" s="30" t="s">
        <v>24</v>
      </c>
      <c r="N57" s="30" t="s">
        <v>21</v>
      </c>
      <c r="O57" s="30"/>
      <c r="P57" s="30" t="s">
        <v>21</v>
      </c>
      <c r="Q57" s="30" t="s">
        <v>21</v>
      </c>
      <c r="R57" s="30"/>
      <c r="S57" s="30" t="s">
        <v>21</v>
      </c>
      <c r="T57" s="30" t="s">
        <v>21</v>
      </c>
      <c r="U57" s="30"/>
      <c r="V57" s="30" t="s">
        <v>21</v>
      </c>
      <c r="W57" s="30" t="s">
        <v>24</v>
      </c>
      <c r="X57" s="33" t="str">
        <f t="shared" si="6"/>
        <v>#REF!</v>
      </c>
    </row>
    <row r="58" ht="15.75" customHeight="1">
      <c r="A58" s="25">
        <f t="shared" si="1"/>
        <v>12</v>
      </c>
      <c r="B58" s="25">
        <f t="shared" si="7"/>
        <v>10</v>
      </c>
      <c r="C58" s="26" t="s">
        <v>84</v>
      </c>
      <c r="D58" s="27" t="s">
        <v>203</v>
      </c>
      <c r="E58" s="28" t="s">
        <v>61</v>
      </c>
      <c r="F58" s="28" t="s">
        <v>41</v>
      </c>
      <c r="G58" s="29" t="s">
        <v>71</v>
      </c>
      <c r="H58" s="30" t="s">
        <v>21</v>
      </c>
      <c r="I58" s="31" t="s">
        <v>92</v>
      </c>
      <c r="J58" s="32" t="s">
        <v>204</v>
      </c>
      <c r="K58" s="30" t="s">
        <v>21</v>
      </c>
      <c r="L58" s="30"/>
      <c r="M58" s="30" t="s">
        <v>21</v>
      </c>
      <c r="N58" s="30" t="s">
        <v>21</v>
      </c>
      <c r="O58" s="30"/>
      <c r="P58" s="30" t="s">
        <v>21</v>
      </c>
      <c r="Q58" s="30" t="s">
        <v>21</v>
      </c>
      <c r="R58" s="30"/>
      <c r="S58" s="30" t="s">
        <v>24</v>
      </c>
      <c r="T58" s="30" t="s">
        <v>24</v>
      </c>
      <c r="U58" s="30"/>
      <c r="V58" s="30" t="s">
        <v>21</v>
      </c>
      <c r="W58" s="30" t="s">
        <v>21</v>
      </c>
      <c r="X58" s="33" t="str">
        <f t="shared" si="6"/>
        <v>#REF!</v>
      </c>
    </row>
    <row r="59" ht="15.75" customHeight="1">
      <c r="A59" s="25">
        <f t="shared" si="1"/>
        <v>12</v>
      </c>
      <c r="B59" s="25">
        <f t="shared" si="7"/>
        <v>10</v>
      </c>
      <c r="C59" s="26" t="s">
        <v>84</v>
      </c>
      <c r="D59" s="27" t="s">
        <v>209</v>
      </c>
      <c r="E59" s="28" t="s">
        <v>19</v>
      </c>
      <c r="F59" s="28"/>
      <c r="G59" s="29" t="s">
        <v>71</v>
      </c>
      <c r="H59" s="30" t="s">
        <v>21</v>
      </c>
      <c r="I59" s="31" t="s">
        <v>92</v>
      </c>
      <c r="J59" s="32" t="s">
        <v>204</v>
      </c>
      <c r="K59" s="30" t="s">
        <v>21</v>
      </c>
      <c r="L59" s="30"/>
      <c r="M59" s="30" t="s">
        <v>21</v>
      </c>
      <c r="N59" s="30" t="s">
        <v>24</v>
      </c>
      <c r="O59" s="30"/>
      <c r="P59" s="30" t="s">
        <v>21</v>
      </c>
      <c r="Q59" s="30" t="s">
        <v>21</v>
      </c>
      <c r="R59" s="30"/>
      <c r="S59" s="30" t="s">
        <v>21</v>
      </c>
      <c r="T59" s="30" t="s">
        <v>21</v>
      </c>
      <c r="U59" s="30"/>
      <c r="V59" s="30" t="s">
        <v>21</v>
      </c>
      <c r="W59" s="30" t="s">
        <v>21</v>
      </c>
      <c r="X59" s="33" t="str">
        <f t="shared" si="6"/>
        <v>#REF!</v>
      </c>
      <c r="Y59" s="64" t="s">
        <v>206</v>
      </c>
      <c r="Z59" s="4"/>
      <c r="AA59" s="4"/>
      <c r="AB59" s="4"/>
      <c r="AC59" s="5"/>
    </row>
    <row r="60" ht="15.75" customHeight="1">
      <c r="A60" s="25">
        <f t="shared" si="1"/>
        <v>12</v>
      </c>
      <c r="B60" s="25">
        <f t="shared" si="7"/>
        <v>9</v>
      </c>
      <c r="C60" s="26" t="s">
        <v>64</v>
      </c>
      <c r="D60" s="27" t="s">
        <v>205</v>
      </c>
      <c r="E60" s="28" t="s">
        <v>19</v>
      </c>
      <c r="F60" s="28"/>
      <c r="G60" s="29" t="s">
        <v>163</v>
      </c>
      <c r="H60" s="30" t="s">
        <v>30</v>
      </c>
      <c r="I60" s="31" t="s">
        <v>92</v>
      </c>
      <c r="J60" s="32"/>
      <c r="K60" s="30" t="s">
        <v>30</v>
      </c>
      <c r="L60" s="30" t="s">
        <v>30</v>
      </c>
      <c r="M60" s="30" t="s">
        <v>30</v>
      </c>
      <c r="N60" s="30" t="s">
        <v>30</v>
      </c>
      <c r="O60" s="30" t="s">
        <v>30</v>
      </c>
      <c r="P60" s="30" t="s">
        <v>30</v>
      </c>
      <c r="Q60" s="30" t="s">
        <v>30</v>
      </c>
      <c r="R60" s="30" t="s">
        <v>30</v>
      </c>
      <c r="S60" s="30" t="s">
        <v>30</v>
      </c>
      <c r="T60" s="30" t="s">
        <v>30</v>
      </c>
      <c r="U60" s="30" t="s">
        <v>30</v>
      </c>
      <c r="V60" s="30" t="s">
        <v>30</v>
      </c>
      <c r="W60" s="30" t="s">
        <v>30</v>
      </c>
      <c r="X60" s="33" t="str">
        <f t="shared" si="6"/>
        <v>#REF!</v>
      </c>
      <c r="Y60" s="65" t="s">
        <v>256</v>
      </c>
      <c r="Z60" s="4"/>
      <c r="AA60" s="4"/>
      <c r="AB60" s="4"/>
      <c r="AC60" s="5"/>
    </row>
    <row r="61" ht="15.75" customHeight="1">
      <c r="A61" s="25">
        <f t="shared" si="1"/>
        <v>12</v>
      </c>
      <c r="B61" s="25">
        <f t="shared" si="7"/>
        <v>10</v>
      </c>
      <c r="C61" s="26" t="s">
        <v>84</v>
      </c>
      <c r="D61" s="27" t="s">
        <v>207</v>
      </c>
      <c r="E61" s="28" t="s">
        <v>19</v>
      </c>
      <c r="F61" s="28"/>
      <c r="G61" s="29" t="s">
        <v>49</v>
      </c>
      <c r="H61" s="30" t="s">
        <v>30</v>
      </c>
      <c r="I61" s="31" t="s">
        <v>92</v>
      </c>
      <c r="J61" s="32"/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0" t="s">
        <v>30</v>
      </c>
      <c r="X61" s="33" t="str">
        <f t="shared" si="6"/>
        <v>#REF!</v>
      </c>
      <c r="Y61" s="65" t="s">
        <v>257</v>
      </c>
      <c r="Z61" s="4"/>
      <c r="AA61" s="4"/>
      <c r="AB61" s="4"/>
      <c r="AC61" s="5"/>
    </row>
    <row r="62" ht="15.75" customHeight="1">
      <c r="A62" s="25">
        <f t="shared" si="1"/>
        <v>13</v>
      </c>
      <c r="B62" s="25">
        <f t="shared" si="7"/>
        <v>9</v>
      </c>
      <c r="C62" s="26" t="s">
        <v>64</v>
      </c>
      <c r="D62" s="27" t="s">
        <v>211</v>
      </c>
      <c r="E62" s="28" t="s">
        <v>61</v>
      </c>
      <c r="F62" s="28" t="s">
        <v>19</v>
      </c>
      <c r="G62" s="29" t="s">
        <v>62</v>
      </c>
      <c r="H62" s="30" t="s">
        <v>21</v>
      </c>
      <c r="I62" s="31" t="s">
        <v>95</v>
      </c>
      <c r="J62" s="32" t="s">
        <v>210</v>
      </c>
      <c r="K62" s="30" t="s">
        <v>21</v>
      </c>
      <c r="L62" s="30"/>
      <c r="M62" s="30" t="s">
        <v>21</v>
      </c>
      <c r="N62" s="30" t="s">
        <v>21</v>
      </c>
      <c r="O62" s="30"/>
      <c r="P62" s="30" t="s">
        <v>21</v>
      </c>
      <c r="Q62" s="30" t="s">
        <v>21</v>
      </c>
      <c r="R62" s="30"/>
      <c r="S62" s="30" t="s">
        <v>21</v>
      </c>
      <c r="T62" s="30" t="s">
        <v>21</v>
      </c>
      <c r="U62" s="30"/>
      <c r="V62" s="30" t="s">
        <v>21</v>
      </c>
      <c r="W62" s="30" t="s">
        <v>21</v>
      </c>
      <c r="X62" s="33" t="str">
        <f>SUM( (COUNTIF(K62,"A") + (COUNTIF(K62,"T")/2) + (COUNTIF(K62,"O")/2) )+ (COUNTIF(L62,"A") + (COUNTIF(L62,"T")/2) + (COUNTIF(L62,"O")/2) )+ (COUNTIF(M62,"A") + (COUNTIF(M62,"T")/2) + (COUNTIF(M62,"O")/2) )+ (COUNTIF(N62,"A") + (COUNTIF(N62,"T")/2) + (COUNTIF(N62,"O")/2) )+ (COUNTIF(#REF!,"A") + (COUNTIF(#REF!,"T")/2) + (COUNTIF(#REF!,"O")/2) )+ (COUNTIF(O62,"A") + (COUNTIF(O62,"T")/2) + (COUNTIF(O62,"O")/2) )+ (COUNTIF(Q62,"A") + (COUNTIF(Q62,"T")/2) + (COUNTIF(Q62,"O")/2) )+ (COUNTIF(R62,"A") + (COUNTIF(R62,"T")/2) + (COUNTIF(R62,"O")/2) )+ (COUNTIF(S62,"A") + (COUNTIF(S62,"T")/2) + (COUNTIF(S62,"O")/2) )+ (COUNTIF(#REF!,"A") + (COUNTIF(#REF!,"T")/2) + (COUNTIF(#REF!,"O")/2) )+ (COUNTIF(T62,"A") + (COUNTIF(T62,"T")/2) + (COUNTIF(T62,"O")/2) )+ (COUNTIF(U62,"A") + (COUNTIF(U62,"T")/2) + (COUNTIF(U62,"O")/2) )+ (COUNTIF(V62,"A") + (COUNTIF(V62,"T")/2) + (COUNTIF(V62,"O")/2) ) )/$X$1</f>
        <v>#REF!</v>
      </c>
      <c r="Y62" s="65" t="s">
        <v>260</v>
      </c>
      <c r="Z62" s="4"/>
      <c r="AA62" s="4"/>
      <c r="AB62" s="4"/>
      <c r="AC62" s="5"/>
    </row>
    <row r="63" ht="15.75" customHeight="1">
      <c r="A63" s="25">
        <f t="shared" si="1"/>
        <v>13</v>
      </c>
      <c r="B63" s="25">
        <f t="shared" si="7"/>
        <v>8</v>
      </c>
      <c r="C63" s="26" t="s">
        <v>54</v>
      </c>
      <c r="D63" s="27" t="s">
        <v>242</v>
      </c>
      <c r="E63" s="28" t="s">
        <v>76</v>
      </c>
      <c r="F63" s="28"/>
      <c r="G63" s="29" t="s">
        <v>49</v>
      </c>
      <c r="H63" s="30" t="s">
        <v>21</v>
      </c>
      <c r="I63" s="31" t="s">
        <v>95</v>
      </c>
      <c r="J63" s="32" t="s">
        <v>216</v>
      </c>
      <c r="K63" s="30" t="s">
        <v>21</v>
      </c>
      <c r="L63" s="30"/>
      <c r="M63" s="30" t="s">
        <v>21</v>
      </c>
      <c r="N63" s="30" t="s">
        <v>21</v>
      </c>
      <c r="O63" s="30" t="s">
        <v>58</v>
      </c>
      <c r="P63" s="63" t="s">
        <v>261</v>
      </c>
      <c r="Q63" s="30" t="s">
        <v>21</v>
      </c>
      <c r="R63" s="30"/>
      <c r="S63" s="30" t="s">
        <v>21</v>
      </c>
      <c r="T63" s="30" t="s">
        <v>21</v>
      </c>
      <c r="U63" s="30"/>
      <c r="V63" s="30" t="s">
        <v>21</v>
      </c>
      <c r="W63" s="30" t="s">
        <v>21</v>
      </c>
      <c r="X63" s="33" t="str">
        <f t="shared" ref="X63:X98" si="8">SUM( (COUNTIF(K63,"A") + (COUNTIF(K63,"T")/2) + (COUNTIF(K63,"O")/2) )+ (COUNTIF(L63,"A") + (COUNTIF(L63,"T")/2) + (COUNTIF(L63,"O")/2) )+ (COUNTIF(M63,"A") + (COUNTIF(M63,"T")/2) + (COUNTIF(M63,"O")/2) )+ (COUNTIF(N63,"A") + (COUNTIF(N63,"T")/2) + (COUNTIF(N63,"O")/2) )+ (COUNTIF(O63,"A") + (COUNTIF(O63,"T")/2) + (COUNTIF(O63,"O")/2) )+ (COUNTIF(P63,"A") + (COUNTIF(P63,"T")/2) + (COUNTIF(P63,"O")/2) )+ (COUNTIF(Q63,"A") + (COUNTIF(Q63,"T")/2) + (COUNTIF(Q63,"O")/2) )+ (COUNTIF(R63,"A") + (COUNTIF(R63,"T")/2) + (COUNTIF(R63,"O")/2) )+ (COUNTIF(S63,"A") + (COUNTIF(S63,"T")/2) + (COUNTIF(S63,"O")/2) )+ (COUNTIF(#REF!,"A") + (COUNTIF(#REF!,"T")/2) + (COUNTIF(#REF!,"O")/2) )+ (COUNTIF(T63,"A") + (COUNTIF(T63,"T")/2) + (COUNTIF(T63,"O")/2) )+ (COUNTIF(U63,"A") + (COUNTIF(U63,"T")/2) + (COUNTIF(U63,"O")/2) )+ (COUNTIF(V63,"A") + (COUNTIF(V63,"T")/2) + (COUNTIF(V63,"O")/2) ) )/$X$1</f>
        <v>#REF!</v>
      </c>
      <c r="Y63" s="65"/>
      <c r="Z63" s="4"/>
      <c r="AA63" s="4"/>
      <c r="AB63" s="4"/>
      <c r="AC63" s="5"/>
    </row>
    <row r="64" ht="15.75" customHeight="1">
      <c r="A64" s="25">
        <f t="shared" si="1"/>
        <v>13</v>
      </c>
      <c r="B64" s="25">
        <f t="shared" si="7"/>
        <v>9</v>
      </c>
      <c r="C64" s="26" t="s">
        <v>64</v>
      </c>
      <c r="D64" s="27" t="s">
        <v>215</v>
      </c>
      <c r="E64" s="28" t="s">
        <v>41</v>
      </c>
      <c r="F64" s="28" t="s">
        <v>76</v>
      </c>
      <c r="G64" s="29" t="s">
        <v>71</v>
      </c>
      <c r="H64" s="30" t="s">
        <v>21</v>
      </c>
      <c r="I64" s="31" t="s">
        <v>95</v>
      </c>
      <c r="J64" s="32" t="s">
        <v>216</v>
      </c>
      <c r="K64" s="30" t="s">
        <v>21</v>
      </c>
      <c r="L64" s="30"/>
      <c r="M64" s="30" t="s">
        <v>21</v>
      </c>
      <c r="N64" s="30" t="s">
        <v>24</v>
      </c>
      <c r="O64" s="30"/>
      <c r="P64" s="30" t="s">
        <v>21</v>
      </c>
      <c r="Q64" s="30" t="s">
        <v>21</v>
      </c>
      <c r="R64" s="30"/>
      <c r="S64" s="30" t="s">
        <v>21</v>
      </c>
      <c r="T64" s="30" t="s">
        <v>21</v>
      </c>
      <c r="U64" s="30"/>
      <c r="V64" s="30" t="s">
        <v>21</v>
      </c>
      <c r="W64" s="30" t="s">
        <v>21</v>
      </c>
      <c r="X64" s="33" t="str">
        <f t="shared" si="8"/>
        <v>#REF!</v>
      </c>
      <c r="Y64" s="65"/>
      <c r="Z64" s="4"/>
      <c r="AA64" s="4"/>
      <c r="AB64" s="4"/>
      <c r="AC64" s="5"/>
    </row>
    <row r="65" ht="15.75" customHeight="1">
      <c r="A65" s="25">
        <f t="shared" si="1"/>
        <v>13</v>
      </c>
      <c r="B65" s="25">
        <f t="shared" si="7"/>
        <v>8</v>
      </c>
      <c r="C65" s="26" t="s">
        <v>54</v>
      </c>
      <c r="D65" s="27" t="s">
        <v>208</v>
      </c>
      <c r="E65" s="28" t="s">
        <v>41</v>
      </c>
      <c r="F65" s="28" t="s">
        <v>56</v>
      </c>
      <c r="G65" s="29" t="s">
        <v>71</v>
      </c>
      <c r="H65" s="30" t="s">
        <v>21</v>
      </c>
      <c r="I65" s="31" t="s">
        <v>95</v>
      </c>
      <c r="J65" s="32"/>
      <c r="K65" s="30" t="s">
        <v>24</v>
      </c>
      <c r="L65" s="30"/>
      <c r="M65" s="30" t="s">
        <v>21</v>
      </c>
      <c r="N65" s="30" t="s">
        <v>37</v>
      </c>
      <c r="O65" s="30"/>
      <c r="P65" s="30" t="s">
        <v>37</v>
      </c>
      <c r="Q65" s="30" t="s">
        <v>37</v>
      </c>
      <c r="R65" s="30"/>
      <c r="S65" s="30" t="s">
        <v>21</v>
      </c>
      <c r="T65" s="30" t="s">
        <v>21</v>
      </c>
      <c r="U65" s="30"/>
      <c r="V65" s="30" t="s">
        <v>21</v>
      </c>
      <c r="W65" s="30" t="s">
        <v>21</v>
      </c>
      <c r="X65" s="33" t="str">
        <f t="shared" si="8"/>
        <v>#REF!</v>
      </c>
      <c r="Y65" s="65" t="s">
        <v>262</v>
      </c>
      <c r="Z65" s="4"/>
      <c r="AA65" s="4"/>
      <c r="AB65" s="4"/>
      <c r="AC65" s="5"/>
    </row>
    <row r="66" ht="15.75" customHeight="1">
      <c r="A66" s="25">
        <f t="shared" si="1"/>
        <v>15</v>
      </c>
      <c r="B66" s="25">
        <f t="shared" si="7"/>
        <v>10</v>
      </c>
      <c r="C66" s="26" t="s">
        <v>84</v>
      </c>
      <c r="D66" s="27" t="s">
        <v>131</v>
      </c>
      <c r="E66" s="28" t="s">
        <v>19</v>
      </c>
      <c r="F66" s="28"/>
      <c r="G66" s="29" t="s">
        <v>132</v>
      </c>
      <c r="H66" s="30" t="s">
        <v>21</v>
      </c>
      <c r="I66" s="31"/>
      <c r="J66" s="32"/>
      <c r="K66" s="30" t="s">
        <v>65</v>
      </c>
      <c r="L66" s="30"/>
      <c r="M66" s="30" t="s">
        <v>65</v>
      </c>
      <c r="N66" s="30" t="s">
        <v>65</v>
      </c>
      <c r="O66" s="30"/>
      <c r="P66" s="30" t="s">
        <v>65</v>
      </c>
      <c r="Q66" s="30" t="s">
        <v>65</v>
      </c>
      <c r="R66" s="30"/>
      <c r="S66" s="30" t="s">
        <v>65</v>
      </c>
      <c r="T66" s="30" t="s">
        <v>65</v>
      </c>
      <c r="U66" s="30"/>
      <c r="V66" s="30"/>
      <c r="W66" s="30"/>
      <c r="X66" s="33" t="str">
        <f t="shared" si="8"/>
        <v>#REF!</v>
      </c>
    </row>
    <row r="67" ht="15.75" customHeight="1">
      <c r="A67" s="25">
        <f t="shared" si="1"/>
        <v>15</v>
      </c>
      <c r="B67" s="25">
        <f t="shared" si="7"/>
        <v>11</v>
      </c>
      <c r="C67" s="26" t="s">
        <v>79</v>
      </c>
      <c r="D67" s="27" t="s">
        <v>263</v>
      </c>
      <c r="E67" s="28" t="s">
        <v>19</v>
      </c>
      <c r="F67" s="28"/>
      <c r="G67" s="29" t="s">
        <v>62</v>
      </c>
      <c r="H67" s="30" t="s">
        <v>21</v>
      </c>
      <c r="I67" s="31"/>
      <c r="J67" s="32"/>
      <c r="K67" s="30" t="s">
        <v>65</v>
      </c>
      <c r="L67" s="30"/>
      <c r="M67" s="30" t="s">
        <v>65</v>
      </c>
      <c r="N67" s="30" t="s">
        <v>65</v>
      </c>
      <c r="O67" s="30"/>
      <c r="P67" s="30" t="s">
        <v>65</v>
      </c>
      <c r="Q67" s="30" t="s">
        <v>65</v>
      </c>
      <c r="R67" s="30"/>
      <c r="S67" s="30" t="s">
        <v>65</v>
      </c>
      <c r="T67" s="30" t="s">
        <v>65</v>
      </c>
      <c r="U67" s="30"/>
      <c r="V67" s="30" t="s">
        <v>65</v>
      </c>
      <c r="W67" s="30"/>
      <c r="X67" s="33" t="str">
        <f t="shared" si="8"/>
        <v>#REF!</v>
      </c>
      <c r="Y67" s="47"/>
      <c r="Z67" s="47"/>
      <c r="AA67" s="48"/>
      <c r="AB67" s="1"/>
      <c r="AC67" s="1"/>
    </row>
    <row r="68" ht="15.75" customHeight="1">
      <c r="A68" s="25">
        <f t="shared" si="1"/>
        <v>15</v>
      </c>
      <c r="B68" s="25">
        <f t="shared" si="7"/>
        <v>11</v>
      </c>
      <c r="C68" s="26" t="s">
        <v>79</v>
      </c>
      <c r="D68" s="27" t="s">
        <v>97</v>
      </c>
      <c r="E68" s="28" t="s">
        <v>19</v>
      </c>
      <c r="F68" s="28"/>
      <c r="G68" s="29" t="s">
        <v>71</v>
      </c>
      <c r="H68" s="30" t="s">
        <v>21</v>
      </c>
      <c r="I68" s="31"/>
      <c r="J68" s="32"/>
      <c r="K68" s="30" t="s">
        <v>65</v>
      </c>
      <c r="L68" s="30"/>
      <c r="M68" s="30" t="s">
        <v>65</v>
      </c>
      <c r="N68" s="30" t="s">
        <v>65</v>
      </c>
      <c r="O68" s="30"/>
      <c r="P68" s="30" t="s">
        <v>65</v>
      </c>
      <c r="Q68" s="30" t="s">
        <v>65</v>
      </c>
      <c r="R68" s="30"/>
      <c r="S68" s="30" t="s">
        <v>65</v>
      </c>
      <c r="T68" s="30" t="s">
        <v>65</v>
      </c>
      <c r="U68" s="30"/>
      <c r="V68" s="30" t="s">
        <v>65</v>
      </c>
      <c r="W68" s="30"/>
      <c r="X68" s="33" t="str">
        <f t="shared" si="8"/>
        <v>#REF!</v>
      </c>
      <c r="Y68" s="47"/>
      <c r="Z68" s="47"/>
      <c r="AA68" s="48"/>
      <c r="AB68" s="1"/>
      <c r="AC68" s="1"/>
    </row>
    <row r="69" ht="15.75" customHeight="1">
      <c r="A69" s="25">
        <f t="shared" si="1"/>
        <v>15</v>
      </c>
      <c r="B69" s="25">
        <f t="shared" si="7"/>
        <v>11</v>
      </c>
      <c r="C69" s="26" t="s">
        <v>79</v>
      </c>
      <c r="D69" s="27" t="s">
        <v>91</v>
      </c>
      <c r="E69" s="28" t="s">
        <v>19</v>
      </c>
      <c r="F69" s="28"/>
      <c r="G69" s="29" t="s">
        <v>49</v>
      </c>
      <c r="H69" s="30" t="s">
        <v>21</v>
      </c>
      <c r="I69" s="31"/>
      <c r="J69" s="32"/>
      <c r="K69" s="30" t="s">
        <v>65</v>
      </c>
      <c r="L69" s="30"/>
      <c r="M69" s="30" t="s">
        <v>65</v>
      </c>
      <c r="N69" s="30" t="s">
        <v>65</v>
      </c>
      <c r="O69" s="30"/>
      <c r="P69" s="30" t="s">
        <v>65</v>
      </c>
      <c r="Q69" s="30" t="s">
        <v>65</v>
      </c>
      <c r="R69" s="30"/>
      <c r="S69" s="30" t="s">
        <v>65</v>
      </c>
      <c r="T69" s="30" t="s">
        <v>65</v>
      </c>
      <c r="U69" s="30"/>
      <c r="V69" s="30" t="s">
        <v>65</v>
      </c>
      <c r="W69" s="30"/>
      <c r="X69" s="33" t="str">
        <f t="shared" si="8"/>
        <v>#REF!</v>
      </c>
      <c r="Y69" s="47"/>
      <c r="Z69" s="47"/>
      <c r="AA69" s="48"/>
      <c r="AB69" s="1"/>
      <c r="AC69" s="1"/>
    </row>
    <row r="70" ht="15.75" customHeight="1">
      <c r="A70" s="25">
        <f t="shared" si="1"/>
        <v>15</v>
      </c>
      <c r="B70" s="25">
        <f t="shared" si="7"/>
        <v>11</v>
      </c>
      <c r="C70" s="26" t="s">
        <v>79</v>
      </c>
      <c r="D70" s="27" t="s">
        <v>80</v>
      </c>
      <c r="E70" s="28" t="s">
        <v>19</v>
      </c>
      <c r="F70" s="28"/>
      <c r="G70" s="29" t="s">
        <v>71</v>
      </c>
      <c r="H70" s="30" t="s">
        <v>21</v>
      </c>
      <c r="I70" s="31"/>
      <c r="J70" s="32"/>
      <c r="K70" s="30" t="s">
        <v>65</v>
      </c>
      <c r="L70" s="30"/>
      <c r="M70" s="30" t="s">
        <v>65</v>
      </c>
      <c r="N70" s="30" t="s">
        <v>65</v>
      </c>
      <c r="O70" s="30"/>
      <c r="P70" s="30" t="s">
        <v>65</v>
      </c>
      <c r="Q70" s="30" t="s">
        <v>65</v>
      </c>
      <c r="R70" s="30"/>
      <c r="S70" s="30" t="s">
        <v>65</v>
      </c>
      <c r="T70" s="30" t="s">
        <v>65</v>
      </c>
      <c r="U70" s="30"/>
      <c r="V70" s="30" t="s">
        <v>65</v>
      </c>
      <c r="W70" s="42"/>
      <c r="X70" s="33" t="str">
        <f t="shared" si="8"/>
        <v>#REF!</v>
      </c>
      <c r="Y70" s="47"/>
      <c r="Z70" s="47"/>
      <c r="AA70" s="48"/>
      <c r="AB70" s="1"/>
      <c r="AC70" s="1"/>
    </row>
    <row r="71" ht="15.75" customHeight="1">
      <c r="A71" s="25">
        <f t="shared" si="1"/>
        <v>15</v>
      </c>
      <c r="B71" s="25">
        <f t="shared" si="7"/>
        <v>11</v>
      </c>
      <c r="C71" s="26" t="s">
        <v>79</v>
      </c>
      <c r="D71" s="27" t="s">
        <v>213</v>
      </c>
      <c r="E71" s="28" t="s">
        <v>19</v>
      </c>
      <c r="F71" s="28"/>
      <c r="G71" s="29" t="s">
        <v>49</v>
      </c>
      <c r="H71" s="42" t="s">
        <v>21</v>
      </c>
      <c r="I71" s="31"/>
      <c r="J71" s="32"/>
      <c r="K71" s="30" t="s">
        <v>65</v>
      </c>
      <c r="L71" s="42"/>
      <c r="M71" s="30" t="s">
        <v>65</v>
      </c>
      <c r="N71" s="30" t="s">
        <v>65</v>
      </c>
      <c r="O71" s="42"/>
      <c r="P71" s="30" t="s">
        <v>65</v>
      </c>
      <c r="Q71" s="30" t="s">
        <v>65</v>
      </c>
      <c r="R71" s="42"/>
      <c r="S71" s="30" t="s">
        <v>65</v>
      </c>
      <c r="T71" s="30" t="s">
        <v>65</v>
      </c>
      <c r="U71" s="42"/>
      <c r="V71" s="30" t="s">
        <v>65</v>
      </c>
      <c r="W71" s="42"/>
      <c r="X71" s="33" t="str">
        <f t="shared" si="8"/>
        <v>#REF!</v>
      </c>
      <c r="Y71" s="47"/>
      <c r="Z71" s="47"/>
      <c r="AA71" s="48"/>
      <c r="AB71" s="1"/>
      <c r="AC71" s="1"/>
    </row>
    <row r="72" ht="15.75" customHeight="1">
      <c r="A72" s="25">
        <f t="shared" si="1"/>
        <v>15</v>
      </c>
      <c r="B72" s="25">
        <f t="shared" si="7"/>
        <v>15</v>
      </c>
      <c r="C72" s="26"/>
      <c r="D72" s="27"/>
      <c r="E72" s="28"/>
      <c r="F72" s="28"/>
      <c r="G72" s="29"/>
      <c r="H72" s="30"/>
      <c r="I72" s="31"/>
      <c r="J72" s="32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3" t="str">
        <f t="shared" si="8"/>
        <v>#REF!</v>
      </c>
      <c r="Y72" s="47"/>
      <c r="Z72" s="47"/>
      <c r="AA72" s="48"/>
      <c r="AB72" s="1"/>
      <c r="AC72" s="1"/>
    </row>
    <row r="73" ht="15.75" customHeight="1">
      <c r="A73" s="25">
        <f t="shared" si="1"/>
        <v>15</v>
      </c>
      <c r="B73" s="25">
        <f t="shared" si="7"/>
        <v>15</v>
      </c>
      <c r="C73" s="26"/>
      <c r="D73" s="27"/>
      <c r="E73" s="28"/>
      <c r="F73" s="28"/>
      <c r="G73" s="29"/>
      <c r="H73" s="30"/>
      <c r="I73" s="31"/>
      <c r="J73" s="32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3" t="str">
        <f t="shared" si="8"/>
        <v>#REF!</v>
      </c>
      <c r="Y73" s="47"/>
      <c r="Z73" s="47"/>
      <c r="AA73" s="48"/>
      <c r="AB73" s="1"/>
      <c r="AC73" s="1"/>
    </row>
    <row r="74" ht="15.75" customHeight="1">
      <c r="A74" s="25">
        <f t="shared" si="1"/>
        <v>15</v>
      </c>
      <c r="B74" s="25">
        <f t="shared" si="7"/>
        <v>15</v>
      </c>
      <c r="C74" s="26"/>
      <c r="D74" s="27"/>
      <c r="E74" s="28"/>
      <c r="F74" s="28"/>
      <c r="G74" s="29"/>
      <c r="H74" s="30"/>
      <c r="I74" s="31"/>
      <c r="J74" s="32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3" t="str">
        <f t="shared" si="8"/>
        <v>#REF!</v>
      </c>
      <c r="Y74" s="47"/>
      <c r="Z74" s="47"/>
      <c r="AA74" s="48"/>
      <c r="AB74" s="1"/>
      <c r="AC74" s="1"/>
    </row>
    <row r="75" ht="15.75" customHeight="1">
      <c r="A75" s="25">
        <f t="shared" si="1"/>
        <v>15</v>
      </c>
      <c r="B75" s="25">
        <f t="shared" si="7"/>
        <v>15</v>
      </c>
      <c r="C75" s="26"/>
      <c r="D75" s="27"/>
      <c r="E75" s="28"/>
      <c r="F75" s="28"/>
      <c r="G75" s="29"/>
      <c r="H75" s="30"/>
      <c r="I75" s="31"/>
      <c r="J75" s="32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3" t="str">
        <f t="shared" si="8"/>
        <v>#REF!</v>
      </c>
      <c r="Y75" s="47"/>
      <c r="Z75" s="47"/>
      <c r="AA75" s="48"/>
      <c r="AB75" s="1"/>
      <c r="AC75" s="1"/>
    </row>
    <row r="76" ht="15.75" customHeight="1">
      <c r="A76" s="25">
        <f t="shared" si="1"/>
        <v>15</v>
      </c>
      <c r="B76" s="25">
        <f t="shared" si="7"/>
        <v>15</v>
      </c>
      <c r="C76" s="26"/>
      <c r="D76" s="27"/>
      <c r="E76" s="28"/>
      <c r="F76" s="28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3" t="str">
        <f t="shared" si="8"/>
        <v>#REF!</v>
      </c>
      <c r="Y76" s="47"/>
      <c r="Z76" s="47"/>
      <c r="AA76" s="48"/>
      <c r="AB76" s="1"/>
      <c r="AC76" s="1"/>
    </row>
    <row r="77" ht="15.75" customHeight="1">
      <c r="A77" s="25">
        <f t="shared" si="1"/>
        <v>15</v>
      </c>
      <c r="B77" s="25">
        <f t="shared" si="7"/>
        <v>15</v>
      </c>
      <c r="C77" s="26"/>
      <c r="D77" s="27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3" t="str">
        <f t="shared" si="8"/>
        <v>#REF!</v>
      </c>
      <c r="Y77" s="47"/>
      <c r="Z77" s="47"/>
      <c r="AA77" s="48"/>
      <c r="AB77" s="1"/>
      <c r="AC77" s="1"/>
    </row>
    <row r="78" ht="15.75" customHeight="1">
      <c r="A78" s="25">
        <f t="shared" si="1"/>
        <v>15</v>
      </c>
      <c r="B78" s="25">
        <f t="shared" si="7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3" t="str">
        <f t="shared" si="8"/>
        <v>#REF!</v>
      </c>
      <c r="Y78" s="47"/>
      <c r="Z78" s="47"/>
      <c r="AA78" s="48"/>
      <c r="AB78" s="1"/>
      <c r="AC78" s="1"/>
    </row>
    <row r="79" ht="15.75" customHeight="1">
      <c r="A79" s="25">
        <f t="shared" si="1"/>
        <v>15</v>
      </c>
      <c r="B79" s="25">
        <f t="shared" si="7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3" t="str">
        <f t="shared" si="8"/>
        <v>#REF!</v>
      </c>
      <c r="Y79" s="47"/>
      <c r="Z79" s="47"/>
      <c r="AA79" s="48"/>
      <c r="AB79" s="1"/>
      <c r="AC79" s="1"/>
    </row>
    <row r="80" ht="15.75" customHeight="1">
      <c r="A80" s="25">
        <f t="shared" si="1"/>
        <v>15</v>
      </c>
      <c r="B80" s="25">
        <f t="shared" si="7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3" t="str">
        <f t="shared" si="8"/>
        <v>#REF!</v>
      </c>
      <c r="Y80" s="47"/>
      <c r="Z80" s="47"/>
      <c r="AA80" s="48"/>
      <c r="AB80" s="1"/>
      <c r="AC80" s="1"/>
    </row>
    <row r="81" ht="15.75" customHeight="1">
      <c r="A81" s="25">
        <f t="shared" si="1"/>
        <v>15</v>
      </c>
      <c r="B81" s="25">
        <f t="shared" si="7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3" t="str">
        <f t="shared" si="8"/>
        <v>#REF!</v>
      </c>
      <c r="Y81" s="47"/>
      <c r="Z81" s="47"/>
      <c r="AA81" s="48"/>
      <c r="AB81" s="1"/>
      <c r="AC81" s="1"/>
    </row>
    <row r="82" ht="15.75" customHeight="1">
      <c r="A82" s="25">
        <f t="shared" si="1"/>
        <v>15</v>
      </c>
      <c r="B82" s="25">
        <f t="shared" si="7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3" t="str">
        <f t="shared" si="8"/>
        <v>#REF!</v>
      </c>
      <c r="Y82" s="47"/>
      <c r="Z82" s="47"/>
      <c r="AA82" s="48"/>
      <c r="AB82" s="1"/>
      <c r="AC82" s="1"/>
    </row>
    <row r="83" ht="15.75" customHeight="1">
      <c r="A83" s="25">
        <f t="shared" si="1"/>
        <v>15</v>
      </c>
      <c r="B83" s="25">
        <f t="shared" si="7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3" t="str">
        <f t="shared" si="8"/>
        <v>#REF!</v>
      </c>
      <c r="Y83" s="47"/>
      <c r="Z83" s="47"/>
      <c r="AA83" s="48"/>
      <c r="AB83" s="1"/>
      <c r="AC83" s="1"/>
    </row>
    <row r="84" ht="15.75" customHeight="1">
      <c r="A84" s="25">
        <f t="shared" si="1"/>
        <v>15</v>
      </c>
      <c r="B84" s="25">
        <f t="shared" si="7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3" t="str">
        <f t="shared" si="8"/>
        <v>#REF!</v>
      </c>
      <c r="Y84" s="47"/>
      <c r="Z84" s="47"/>
      <c r="AA84" s="48"/>
      <c r="AB84" s="1"/>
      <c r="AC84" s="1"/>
    </row>
    <row r="85" ht="15.75" customHeight="1">
      <c r="A85" s="25">
        <f t="shared" si="1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3" t="str">
        <f t="shared" si="8"/>
        <v>#REF!</v>
      </c>
      <c r="Y85" s="47"/>
      <c r="Z85" s="47"/>
      <c r="AA85" s="48"/>
      <c r="AB85" s="1"/>
      <c r="AC85" s="1"/>
    </row>
    <row r="86" ht="15.75" customHeight="1">
      <c r="A86" s="25">
        <f t="shared" si="1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3" t="str">
        <f t="shared" si="8"/>
        <v>#REF!</v>
      </c>
      <c r="Y86" s="47"/>
      <c r="Z86" s="47"/>
      <c r="AA86" s="48"/>
      <c r="AB86" s="1"/>
      <c r="AC86" s="1"/>
    </row>
    <row r="87" ht="15.75" customHeight="1">
      <c r="A87" s="25">
        <f t="shared" si="1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3" t="str">
        <f t="shared" si="8"/>
        <v>#REF!</v>
      </c>
      <c r="Y87" s="47"/>
      <c r="Z87" s="47"/>
      <c r="AA87" s="48"/>
      <c r="AB87" s="1"/>
      <c r="AC87" s="1"/>
    </row>
    <row r="88" ht="15.75" customHeight="1">
      <c r="A88" s="25">
        <f t="shared" si="1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3" t="str">
        <f t="shared" si="8"/>
        <v>#REF!</v>
      </c>
      <c r="Y88" s="47"/>
      <c r="Z88" s="47"/>
      <c r="AA88" s="48"/>
      <c r="AB88" s="1"/>
      <c r="AC88" s="1"/>
    </row>
    <row r="89" ht="15.75" customHeight="1">
      <c r="A89" s="25">
        <f t="shared" si="1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3" t="str">
        <f t="shared" si="8"/>
        <v>#REF!</v>
      </c>
      <c r="Y89" s="47"/>
      <c r="Z89" s="47"/>
      <c r="AA89" s="48"/>
      <c r="AB89" s="1"/>
      <c r="AC89" s="1"/>
    </row>
    <row r="90" ht="15.75" customHeight="1">
      <c r="A90" s="25">
        <f t="shared" si="1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3" t="str">
        <f t="shared" si="8"/>
        <v>#REF!</v>
      </c>
      <c r="Y90" s="47"/>
      <c r="Z90" s="47"/>
      <c r="AA90" s="48"/>
      <c r="AB90" s="1"/>
      <c r="AC90" s="1"/>
    </row>
    <row r="91" ht="15.75" customHeight="1">
      <c r="A91" s="25">
        <f t="shared" si="1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3" t="str">
        <f t="shared" si="8"/>
        <v>#REF!</v>
      </c>
      <c r="Y91" s="47"/>
      <c r="Z91" s="47"/>
      <c r="AA91" s="48"/>
      <c r="AB91" s="1"/>
      <c r="AC91" s="1"/>
    </row>
    <row r="92" ht="15.75" customHeight="1">
      <c r="A92" s="25">
        <f t="shared" si="1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3" t="str">
        <f t="shared" si="8"/>
        <v>#REF!</v>
      </c>
      <c r="Y92" s="47"/>
      <c r="Z92" s="47"/>
      <c r="AA92" s="48"/>
      <c r="AB92" s="1"/>
      <c r="AC92" s="1"/>
    </row>
    <row r="93" ht="15.75" customHeight="1">
      <c r="A93" s="25">
        <f t="shared" si="1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3" t="str">
        <f t="shared" si="8"/>
        <v>#REF!</v>
      </c>
      <c r="Y93" s="47"/>
      <c r="Z93" s="47"/>
      <c r="AA93" s="48"/>
      <c r="AB93" s="1"/>
      <c r="AC93" s="1"/>
    </row>
    <row r="94" ht="15.75" customHeight="1">
      <c r="A94" s="25">
        <f t="shared" si="1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3" t="str">
        <f t="shared" si="8"/>
        <v>#REF!</v>
      </c>
      <c r="Y94" s="47"/>
      <c r="Z94" s="47"/>
      <c r="AA94" s="48"/>
      <c r="AB94" s="1"/>
      <c r="AC94" s="1"/>
    </row>
    <row r="95" ht="15.75" customHeight="1">
      <c r="A95" s="25">
        <f t="shared" si="1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3" t="str">
        <f t="shared" si="8"/>
        <v>#REF!</v>
      </c>
      <c r="Y95" s="47"/>
      <c r="Z95" s="47"/>
      <c r="AA95" s="48"/>
      <c r="AB95" s="1"/>
      <c r="AC95" s="1"/>
    </row>
    <row r="96" ht="15.75" customHeight="1">
      <c r="A96" s="25">
        <f t="shared" si="1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3" t="str">
        <f t="shared" si="8"/>
        <v>#REF!</v>
      </c>
      <c r="Y96" s="47"/>
      <c r="Z96" s="47"/>
      <c r="AA96" s="48"/>
      <c r="AB96" s="1"/>
      <c r="AC96" s="1"/>
    </row>
    <row r="97" ht="15.75" customHeight="1">
      <c r="A97" s="25">
        <f t="shared" si="1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3" t="str">
        <f t="shared" si="8"/>
        <v>#REF!</v>
      </c>
      <c r="Y97" s="47"/>
      <c r="Z97" s="47"/>
      <c r="AA97" s="48"/>
      <c r="AB97" s="1"/>
      <c r="AC97" s="1"/>
    </row>
    <row r="98" ht="15.75" customHeight="1">
      <c r="A98" s="25">
        <f t="shared" si="1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3" t="str">
        <f t="shared" si="8"/>
        <v>#REF!</v>
      </c>
      <c r="Y98" s="47"/>
      <c r="Z98" s="47"/>
      <c r="AA98" s="48"/>
      <c r="AB98" s="1"/>
      <c r="AC98" s="1"/>
    </row>
    <row r="99" ht="15.75" customHeight="1">
      <c r="A99" s="69"/>
      <c r="B99" s="69"/>
      <c r="C99" s="2"/>
      <c r="D99" s="47"/>
      <c r="E99" s="70"/>
      <c r="F99" s="70"/>
      <c r="G99" s="70"/>
      <c r="H99" s="70"/>
      <c r="I99" s="44"/>
      <c r="J99" s="71" t="s">
        <v>229</v>
      </c>
      <c r="K99" s="72">
        <f>SUM(COUNTIF(K3:K98,"A") + COUNTIF(K3:K98,"T") + (COUNTIF(K3:K98,"O")/2))</f>
        <v>26</v>
      </c>
      <c r="L99" s="72">
        <f>(COUNTIF(L3:L98,"O"))</f>
        <v>0</v>
      </c>
      <c r="M99" s="72">
        <f t="shared" ref="M99:N99" si="9">SUM(COUNTIF(M3:M98,"A") + COUNTIF(M3:M98,"T") + (COUNTIF(M3:M98,"O")/2))</f>
        <v>29</v>
      </c>
      <c r="N99" s="72">
        <f t="shared" si="9"/>
        <v>34</v>
      </c>
      <c r="O99" s="72">
        <f>(COUNTIF(O3:O98,"O"))</f>
        <v>10</v>
      </c>
      <c r="P99" s="72">
        <f t="shared" ref="P99:Q99" si="10">SUM(COUNTIF(P3:P98,"A") + COUNTIF(P3:P98,"T") + (COUNTIF(P3:P98,"O")/2))</f>
        <v>25</v>
      </c>
      <c r="Q99" s="72">
        <f t="shared" si="10"/>
        <v>37</v>
      </c>
      <c r="R99" s="72">
        <f>(COUNTIF(R3:R98,"O"))</f>
        <v>0</v>
      </c>
      <c r="S99" s="72">
        <f t="shared" ref="S99:T99" si="11">SUM(COUNTIF(S3:S98,"A") + COUNTIF(S3:S98,"T") + (COUNTIF(S3:S98,"O")/2))</f>
        <v>32</v>
      </c>
      <c r="T99" s="72">
        <f t="shared" si="11"/>
        <v>33</v>
      </c>
      <c r="U99" s="72">
        <f>(COUNTIF(U3:U98,"O"))</f>
        <v>7</v>
      </c>
      <c r="V99" s="72">
        <f t="shared" ref="V99:W99" si="12">SUM(COUNTIF(V3:V98,"A") + COUNTIF(V3:V98,"T") + (COUNTIF(V3:V98,"O")/2))</f>
        <v>32</v>
      </c>
      <c r="W99" s="72">
        <f t="shared" si="12"/>
        <v>34</v>
      </c>
      <c r="X99" s="73">
        <f t="shared" ref="X99:X102" si="14">AVERAGE(K99,M99,N99,P99,Q99,S99,T99,V99,W99)</f>
        <v>31.33333333</v>
      </c>
      <c r="Y99" s="74" t="s">
        <v>230</v>
      </c>
      <c r="Z99" s="42"/>
      <c r="AA99" s="47"/>
      <c r="AB99" s="47"/>
      <c r="AC99" s="47"/>
    </row>
    <row r="100" ht="15.75" customHeight="1">
      <c r="A100" s="69"/>
      <c r="B100" s="69"/>
      <c r="C100" s="2"/>
      <c r="D100" s="47"/>
      <c r="E100" s="70"/>
      <c r="F100" s="70"/>
      <c r="G100" s="70"/>
      <c r="H100" s="70"/>
      <c r="I100" s="44"/>
      <c r="J100" s="75" t="s">
        <v>231</v>
      </c>
      <c r="K100" s="76">
        <f t="shared" ref="K100:W100" si="13">SUM(COUNTIF(K3:K98,"J"))</f>
        <v>8</v>
      </c>
      <c r="L100" s="76">
        <f t="shared" si="13"/>
        <v>0</v>
      </c>
      <c r="M100" s="76">
        <f t="shared" si="13"/>
        <v>8</v>
      </c>
      <c r="N100" s="76">
        <f t="shared" si="13"/>
        <v>4</v>
      </c>
      <c r="O100" s="76">
        <f t="shared" si="13"/>
        <v>0</v>
      </c>
      <c r="P100" s="76">
        <f t="shared" si="13"/>
        <v>11</v>
      </c>
      <c r="Q100" s="76">
        <f t="shared" si="13"/>
        <v>3</v>
      </c>
      <c r="R100" s="76">
        <f t="shared" si="13"/>
        <v>0</v>
      </c>
      <c r="S100" s="76">
        <f t="shared" si="13"/>
        <v>10</v>
      </c>
      <c r="T100" s="76">
        <f t="shared" si="13"/>
        <v>7</v>
      </c>
      <c r="U100" s="76">
        <f t="shared" si="13"/>
        <v>0</v>
      </c>
      <c r="V100" s="76">
        <f t="shared" si="13"/>
        <v>7</v>
      </c>
      <c r="W100" s="76">
        <f t="shared" si="13"/>
        <v>6</v>
      </c>
      <c r="X100" s="77">
        <f t="shared" si="14"/>
        <v>7.111111111</v>
      </c>
      <c r="Y100" s="74" t="s">
        <v>232</v>
      </c>
      <c r="Z100" s="42"/>
      <c r="AA100" s="47"/>
      <c r="AB100" s="47"/>
      <c r="AC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8" t="s">
        <v>233</v>
      </c>
      <c r="K101" s="79">
        <f t="shared" ref="K101:W101" si="15">SUM(COUNTIF(K3:K98,"F"))</f>
        <v>1</v>
      </c>
      <c r="L101" s="79">
        <f t="shared" si="15"/>
        <v>0</v>
      </c>
      <c r="M101" s="79">
        <f t="shared" si="15"/>
        <v>1</v>
      </c>
      <c r="N101" s="79">
        <f t="shared" si="15"/>
        <v>2</v>
      </c>
      <c r="O101" s="79">
        <f t="shared" si="15"/>
        <v>0</v>
      </c>
      <c r="P101" s="79">
        <f t="shared" si="15"/>
        <v>1</v>
      </c>
      <c r="Q101" s="79">
        <f t="shared" si="15"/>
        <v>2</v>
      </c>
      <c r="R101" s="79">
        <f t="shared" si="15"/>
        <v>0</v>
      </c>
      <c r="S101" s="79">
        <f t="shared" si="15"/>
        <v>0</v>
      </c>
      <c r="T101" s="79">
        <f t="shared" si="15"/>
        <v>0</v>
      </c>
      <c r="U101" s="79">
        <f t="shared" si="15"/>
        <v>0</v>
      </c>
      <c r="V101" s="79">
        <f t="shared" si="15"/>
        <v>0</v>
      </c>
      <c r="W101" s="79">
        <f t="shared" si="15"/>
        <v>0</v>
      </c>
      <c r="X101" s="80">
        <f t="shared" si="14"/>
        <v>0.7777777778</v>
      </c>
      <c r="Y101" s="81" t="s">
        <v>234</v>
      </c>
      <c r="Z101" s="5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82" t="s">
        <v>235</v>
      </c>
      <c r="K102" s="84">
        <f>(COUNTIF(K3:K98,"A") + COUNTIF(K3:K98,"T") + COUNTIF(K3:K98,"F") + COUNTIF(K3:K98,"J"))</f>
        <v>35</v>
      </c>
      <c r="L102" s="83"/>
      <c r="M102" s="84">
        <f t="shared" ref="M102:N102" si="16">(COUNTIF(M3:M98,"A") + COUNTIF(M3:M98,"T") + COUNTIF(M3:M98,"F") + COUNTIF(M3:M98,"J"))</f>
        <v>38</v>
      </c>
      <c r="N102" s="84">
        <f t="shared" si="16"/>
        <v>40</v>
      </c>
      <c r="O102" s="83"/>
      <c r="P102" s="84">
        <f t="shared" ref="P102:Q102" si="17">(COUNTIF(P3:P98,"A") + COUNTIF(P3:P98,"T") + COUNTIF(P3:P98,"F") + COUNTIF(P3:P98,"J"))</f>
        <v>37</v>
      </c>
      <c r="Q102" s="84">
        <f t="shared" si="17"/>
        <v>42</v>
      </c>
      <c r="R102" s="83"/>
      <c r="S102" s="84">
        <f t="shared" ref="S102:T102" si="18">(COUNTIF(S3:S98,"A") + COUNTIF(S3:S98,"T") + COUNTIF(S3:S98,"F") + COUNTIF(S3:S98,"J"))</f>
        <v>42</v>
      </c>
      <c r="T102" s="84">
        <f t="shared" si="18"/>
        <v>40</v>
      </c>
      <c r="U102" s="83"/>
      <c r="V102" s="84">
        <f t="shared" ref="V102:W102" si="19">(COUNTIF(V3:V98,"A") + COUNTIF(V3:V98,"T") + COUNTIF(V3:V98,"F") + COUNTIF(V3:V98,"J"))</f>
        <v>39</v>
      </c>
      <c r="W102" s="84">
        <f t="shared" si="19"/>
        <v>40</v>
      </c>
      <c r="X102" s="95">
        <f t="shared" si="14"/>
        <v>39.22222222</v>
      </c>
      <c r="Y102" s="81" t="s">
        <v>236</v>
      </c>
      <c r="Z102" s="5"/>
      <c r="AA102" s="47"/>
      <c r="AB102" s="47"/>
      <c r="AC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C1:I1"/>
    <mergeCell ref="K1:W1"/>
    <mergeCell ref="Y1:Z1"/>
    <mergeCell ref="AA1:AC1"/>
    <mergeCell ref="Z3:AC3"/>
    <mergeCell ref="Z4:AC4"/>
    <mergeCell ref="Z5:AC5"/>
    <mergeCell ref="Z6:AC6"/>
    <mergeCell ref="Z7:AC7"/>
    <mergeCell ref="Z8:AC8"/>
    <mergeCell ref="Z9:AC9"/>
    <mergeCell ref="Z10:AC10"/>
    <mergeCell ref="Y42:Z42"/>
    <mergeCell ref="AB42:AC42"/>
    <mergeCell ref="Y43:Z43"/>
    <mergeCell ref="Y44:Z44"/>
    <mergeCell ref="Y45:Z45"/>
    <mergeCell ref="Y46:Z46"/>
    <mergeCell ref="Y47:Z47"/>
    <mergeCell ref="Y48:Z48"/>
    <mergeCell ref="Y49:Z49"/>
    <mergeCell ref="Y59:AC59"/>
    <mergeCell ref="Y60:AC60"/>
    <mergeCell ref="Y61:AC61"/>
    <mergeCell ref="Y62:AC62"/>
    <mergeCell ref="Y63:AC63"/>
    <mergeCell ref="Y64:AC64"/>
    <mergeCell ref="Y65:AC65"/>
    <mergeCell ref="Y101:Z101"/>
    <mergeCell ref="Y102:Z102"/>
    <mergeCell ref="Y50:Z50"/>
    <mergeCell ref="Y51:Z51"/>
    <mergeCell ref="Y52:Z52"/>
    <mergeCell ref="Y53:Z53"/>
    <mergeCell ref="Y54:Z54"/>
    <mergeCell ref="Y55:Z55"/>
    <mergeCell ref="Y56:Z56"/>
  </mergeCells>
  <conditionalFormatting sqref="H68:H73 K68:X73">
    <cfRule type="cellIs" dxfId="0" priority="1" operator="equal">
      <formula>"NP"</formula>
    </cfRule>
  </conditionalFormatting>
  <conditionalFormatting sqref="H3:H98 K3:W98 Y3:Y10">
    <cfRule type="cellIs" dxfId="0" priority="2" operator="equal">
      <formula>"NP"</formula>
    </cfRule>
  </conditionalFormatting>
  <conditionalFormatting sqref="AB44:AB45 AC44 AB48:AB50">
    <cfRule type="containsText" dxfId="1" priority="3" operator="containsText" text="Si">
      <formula>NOT(ISERROR(SEARCH(("Si"),(AB44))))</formula>
    </cfRule>
  </conditionalFormatting>
  <conditionalFormatting sqref="H3:H98 K3:W98 Y3:Y10 X68:X73">
    <cfRule type="containsText" dxfId="2" priority="4" operator="containsText" text="A">
      <formula>NOT(ISERROR(SEARCH(("A"),(H3))))</formula>
    </cfRule>
  </conditionalFormatting>
  <conditionalFormatting sqref="H3:H98 K3:W98 Y3:Y10 X68:X73">
    <cfRule type="containsText" dxfId="3" priority="5" operator="containsText" text="F">
      <formula>NOT(ISERROR(SEARCH(("F"),(H3))))</formula>
    </cfRule>
  </conditionalFormatting>
  <conditionalFormatting sqref="H3:H98 K3:W98 Y3:Y10 X68:X73">
    <cfRule type="containsText" dxfId="4" priority="6" operator="containsText" text="J">
      <formula>NOT(ISERROR(SEARCH(("J"),(H3))))</formula>
    </cfRule>
  </conditionalFormatting>
  <conditionalFormatting sqref="H3:H98 K3:W98 Y3:Y10 X68:X73">
    <cfRule type="containsText" dxfId="5" priority="7" operator="containsText" text="R">
      <formula>NOT(ISERROR(SEARCH(("R"),(H3))))</formula>
    </cfRule>
  </conditionalFormatting>
  <conditionalFormatting sqref="H3:H98 K3:W98 Y3:Y10 X68:X73">
    <cfRule type="containsText" dxfId="6" priority="8" operator="containsText" text="L">
      <formula>NOT(ISERROR(SEARCH(("L"),(H3))))</formula>
    </cfRule>
  </conditionalFormatting>
  <conditionalFormatting sqref="AA24:AA25 AA44:AA56 AA67:AA98">
    <cfRule type="expression" dxfId="7" priority="9">
      <formula>AND(ISNUMBER(AA24),TRUNC(AA24)&lt;TODAY())</formula>
    </cfRule>
  </conditionalFormatting>
  <conditionalFormatting sqref="AA24:AA25 AA44:AA56 AA67:AA98">
    <cfRule type="expression" dxfId="8" priority="10">
      <formula>AND(ISNUMBER(AA24),TRUNC(AA24)&gt;TODAY())</formula>
    </cfRule>
  </conditionalFormatting>
  <conditionalFormatting sqref="AA24:AA25 AA44:AA56 AA67:AA98">
    <cfRule type="timePeriod" dxfId="9" priority="11" timePeriod="today"/>
  </conditionalFormatting>
  <conditionalFormatting sqref="AB24:AC24 AB44:AC56 AB67:AC98">
    <cfRule type="containsText" dxfId="7" priority="12" operator="containsText" text="No">
      <formula>NOT(ISERROR(SEARCH(("No"),(AB24))))</formula>
    </cfRule>
  </conditionalFormatting>
  <conditionalFormatting sqref="H3:H98 K3:W98 Y3:Y10 X68:X73">
    <cfRule type="containsText" dxfId="10" priority="13" operator="containsText" text="T">
      <formula>NOT(ISERROR(SEARCH(("T"),(H3))))</formula>
    </cfRule>
  </conditionalFormatting>
  <conditionalFormatting sqref="AB24:AC24 AB44:AC56 AB67:AC98">
    <cfRule type="containsText" dxfId="1" priority="14" operator="containsText" text="Sí">
      <formula>NOT(ISERROR(SEARCH(("Sí"),(AB24))))</formula>
    </cfRule>
  </conditionalFormatting>
  <conditionalFormatting sqref="H3:H98 K3:W98 Y3:Y10 X68:X73">
    <cfRule type="containsText" dxfId="11" priority="15" operator="containsText" text="O">
      <formula>NOT(ISERROR(SEARCH(("O"),(H3))))</formula>
    </cfRule>
  </conditionalFormatting>
  <conditionalFormatting sqref="K102:W102">
    <cfRule type="cellIs" dxfId="1" priority="16" operator="equal">
      <formula>"OK"</formula>
    </cfRule>
  </conditionalFormatting>
  <conditionalFormatting sqref="K102:W102">
    <cfRule type="cellIs" dxfId="7" priority="17" operator="equal">
      <formula>"NO"</formula>
    </cfRule>
  </conditionalFormatting>
  <conditionalFormatting sqref="X3:X65 X66:X98">
    <cfRule type="cellIs" dxfId="2" priority="18" operator="greaterThanOrEqual">
      <formula>"75%"</formula>
    </cfRule>
  </conditionalFormatting>
  <conditionalFormatting sqref="X3:X65 X66:X98">
    <cfRule type="cellIs" dxfId="12" priority="19" operator="lessThan">
      <formula>"50%"</formula>
    </cfRule>
  </conditionalFormatting>
  <conditionalFormatting sqref="H3:H98 K3:W98">
    <cfRule type="expression" dxfId="13" priority="20">
      <formula>LEN(TRIM(H3))=0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K3:W9 K10 M10:W10 K11:W14 K15 M15:W15 K16:W26 K27 M27:W27 K28:W56 K57 M57:W57 K58:W62 K63:O63 Q63:W63 K64:W98">
      <formula1>"A,J,T,F,O,L,R,NP"</formula1>
    </dataValidation>
  </dataValidations>
  <hyperlinks>
    <hyperlink display="Licencia - ver Licencias" location="Julio!X42:AB56" ref="Z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43"/>
    <col customWidth="1" min="4" max="4" width="12.86"/>
    <col customWidth="1" min="5" max="6" width="6.86"/>
    <col customWidth="1" min="7" max="7" width="8.57"/>
    <col customWidth="1" min="8" max="8" width="7.86"/>
    <col customWidth="1" min="9" max="9" width="13.29"/>
    <col customWidth="1" min="10" max="10" width="10.86"/>
    <col customWidth="1" min="11" max="20" width="5.86"/>
    <col customWidth="1" min="21" max="22" width="6.14"/>
    <col customWidth="1" min="23" max="23" width="5.43"/>
    <col customWidth="1" min="24" max="24" width="15.0"/>
    <col customWidth="1" min="25" max="25" width="9.43"/>
    <col customWidth="1" min="26" max="26" width="10.43"/>
    <col customWidth="1" min="27" max="27" width="22.0"/>
    <col customWidth="1" min="28" max="28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1"/>
      <c r="K1" s="6" t="s">
        <v>239</v>
      </c>
      <c r="L1" s="7"/>
      <c r="M1" s="7"/>
      <c r="N1" s="7"/>
      <c r="O1" s="7"/>
      <c r="P1" s="7"/>
      <c r="Q1" s="7"/>
      <c r="R1" s="7"/>
      <c r="S1" s="7"/>
      <c r="T1" s="7"/>
      <c r="U1" s="8"/>
      <c r="V1" s="87"/>
      <c r="W1" s="9">
        <v>8.0</v>
      </c>
      <c r="X1" s="10" t="s">
        <v>6</v>
      </c>
      <c r="Y1" s="5"/>
      <c r="Z1" s="11" t="s">
        <v>7</v>
      </c>
      <c r="AA1" s="7"/>
      <c r="AB1" s="8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8">
        <v>43284.0</v>
      </c>
      <c r="L2" s="18">
        <v>43286.0</v>
      </c>
      <c r="M2" s="19">
        <v>43289.0</v>
      </c>
      <c r="N2" s="18">
        <v>43291.0</v>
      </c>
      <c r="O2" s="18">
        <v>43293.0</v>
      </c>
      <c r="P2" s="19">
        <v>43296.0</v>
      </c>
      <c r="Q2" s="20">
        <v>43298.0</v>
      </c>
      <c r="R2" s="18">
        <v>43300.0</v>
      </c>
      <c r="S2" s="19">
        <v>43303.0</v>
      </c>
      <c r="T2" s="20">
        <v>43307.0</v>
      </c>
      <c r="U2" s="19">
        <v>43310.0</v>
      </c>
      <c r="V2" s="20">
        <v>43312.0</v>
      </c>
      <c r="W2" s="21" t="s">
        <v>16</v>
      </c>
      <c r="X2" s="22"/>
      <c r="Y2" s="22"/>
      <c r="Z2" s="23"/>
      <c r="AA2" s="24"/>
      <c r="AB2" s="22"/>
    </row>
    <row r="3" ht="15.75" customHeight="1">
      <c r="A3" s="25">
        <f t="shared" ref="A3:A9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2" si="2">IF(C3="Cap.",1,IF(C3="Tte.",2,IF(C3="Alf.",3,IF(C3="SgtM.",4,IF(C3="Sgt1.",5,IF(C3="Sgt.",6,IF(C3="Cbo1.",7,IF(C3="Cbo.",8,IF(C3="Dis.",9,IF(C3="Inf.",10,IF(C3="Rct.",11,15)))))))))))</f>
        <v>1</v>
      </c>
      <c r="C3" s="26" t="s">
        <v>17</v>
      </c>
      <c r="D3" s="27" t="s">
        <v>35</v>
      </c>
      <c r="E3" s="28" t="s">
        <v>19</v>
      </c>
      <c r="F3" s="28"/>
      <c r="G3" s="29" t="s">
        <v>20</v>
      </c>
      <c r="H3" s="30" t="s">
        <v>30</v>
      </c>
      <c r="I3" s="31" t="s">
        <v>22</v>
      </c>
      <c r="J3" s="32" t="s">
        <v>23</v>
      </c>
      <c r="K3" s="30" t="s">
        <v>30</v>
      </c>
      <c r="L3" s="30" t="s">
        <v>30</v>
      </c>
      <c r="M3" s="30" t="s">
        <v>30</v>
      </c>
      <c r="N3" s="30" t="s">
        <v>30</v>
      </c>
      <c r="O3" s="30" t="s">
        <v>30</v>
      </c>
      <c r="P3" s="30" t="s">
        <v>30</v>
      </c>
      <c r="Q3" s="30" t="s">
        <v>30</v>
      </c>
      <c r="R3" s="30" t="s">
        <v>30</v>
      </c>
      <c r="S3" s="30" t="s">
        <v>30</v>
      </c>
      <c r="T3" s="30" t="s">
        <v>30</v>
      </c>
      <c r="U3" s="30" t="s">
        <v>30</v>
      </c>
      <c r="V3" s="30" t="s">
        <v>30</v>
      </c>
      <c r="W3" s="33" t="str">
        <f t="shared" ref="W3:W6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(COUNTIF(#REF!,"A") + (COUNTIF(#REF!,"T")/2) + (COUNTIF(#REF!,"O")/2) )+ (COUNTIF(T3,"A") + (COUNTIF(T3,"T")/2) + (COUNTIF(T3,"O")/2) )+ (COUNTIF(U3,"A") + (COUNTIF(U3,"T")/2) + (COUNTIF(U3,"O")/2) )+ (COUNTIF(V3,"A") + (COUNTIF(V3,"T")/2) + (COUNTIF(V3,"O")/2) ) )/$W$1</f>
        <v>#REF!</v>
      </c>
      <c r="X3" s="34" t="s">
        <v>21</v>
      </c>
      <c r="Y3" s="35" t="s">
        <v>25</v>
      </c>
      <c r="Z3" s="36"/>
      <c r="AA3" s="36"/>
      <c r="AB3" s="37"/>
    </row>
    <row r="4" ht="15.75" customHeight="1">
      <c r="A4" s="25">
        <f t="shared" si="1"/>
        <v>1</v>
      </c>
      <c r="B4" s="25">
        <f t="shared" si="2"/>
        <v>1</v>
      </c>
      <c r="C4" s="26" t="s">
        <v>17</v>
      </c>
      <c r="D4" s="27" t="s">
        <v>32</v>
      </c>
      <c r="E4" s="28" t="s">
        <v>19</v>
      </c>
      <c r="F4" s="28"/>
      <c r="G4" s="29" t="s">
        <v>20</v>
      </c>
      <c r="H4" s="30" t="s">
        <v>30</v>
      </c>
      <c r="I4" s="31" t="s">
        <v>22</v>
      </c>
      <c r="J4" s="32" t="s">
        <v>23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0" t="s">
        <v>30</v>
      </c>
      <c r="W4" s="33" t="str">
        <f t="shared" si="3"/>
        <v>#REF!</v>
      </c>
      <c r="X4" s="30" t="s">
        <v>33</v>
      </c>
      <c r="Y4" s="38" t="s">
        <v>34</v>
      </c>
      <c r="Z4" s="4"/>
      <c r="AA4" s="4"/>
      <c r="AB4" s="5"/>
    </row>
    <row r="5" ht="15.75" customHeight="1">
      <c r="A5" s="25">
        <f t="shared" si="1"/>
        <v>1</v>
      </c>
      <c r="B5" s="25">
        <f t="shared" si="2"/>
        <v>2</v>
      </c>
      <c r="C5" s="26" t="s">
        <v>240</v>
      </c>
      <c r="D5" s="27" t="s">
        <v>18</v>
      </c>
      <c r="E5" s="28" t="s">
        <v>19</v>
      </c>
      <c r="F5" s="28"/>
      <c r="G5" s="29" t="s">
        <v>20</v>
      </c>
      <c r="H5" s="30" t="s">
        <v>37</v>
      </c>
      <c r="I5" s="31" t="s">
        <v>22</v>
      </c>
      <c r="J5" s="32" t="s">
        <v>23</v>
      </c>
      <c r="K5" s="30" t="s">
        <v>37</v>
      </c>
      <c r="L5" s="30" t="s">
        <v>37</v>
      </c>
      <c r="M5" s="30" t="s">
        <v>37</v>
      </c>
      <c r="N5" s="30" t="s">
        <v>37</v>
      </c>
      <c r="O5" s="30" t="s">
        <v>37</v>
      </c>
      <c r="P5" s="30" t="s">
        <v>37</v>
      </c>
      <c r="Q5" s="30" t="s">
        <v>37</v>
      </c>
      <c r="R5" s="30" t="s">
        <v>37</v>
      </c>
      <c r="S5" s="30" t="s">
        <v>37</v>
      </c>
      <c r="T5" s="30" t="s">
        <v>37</v>
      </c>
      <c r="U5" s="30" t="s">
        <v>37</v>
      </c>
      <c r="V5" s="30" t="s">
        <v>37</v>
      </c>
      <c r="W5" s="33" t="str">
        <f t="shared" si="3"/>
        <v>#REF!</v>
      </c>
      <c r="X5" s="30" t="s">
        <v>24</v>
      </c>
      <c r="Y5" s="38" t="s">
        <v>36</v>
      </c>
      <c r="Z5" s="4"/>
      <c r="AA5" s="4"/>
      <c r="AB5" s="5"/>
    </row>
    <row r="6" ht="15.75" customHeight="1">
      <c r="A6" s="25">
        <f t="shared" si="1"/>
        <v>1</v>
      </c>
      <c r="B6" s="25">
        <f t="shared" si="2"/>
        <v>3</v>
      </c>
      <c r="C6" s="26" t="s">
        <v>26</v>
      </c>
      <c r="D6" s="27" t="s">
        <v>27</v>
      </c>
      <c r="E6" s="28" t="s">
        <v>28</v>
      </c>
      <c r="F6" s="28" t="s">
        <v>29</v>
      </c>
      <c r="G6" s="29" t="s">
        <v>20</v>
      </c>
      <c r="H6" s="30" t="s">
        <v>30</v>
      </c>
      <c r="I6" s="31" t="s">
        <v>22</v>
      </c>
      <c r="J6" s="32" t="s">
        <v>23</v>
      </c>
      <c r="K6" s="30" t="s">
        <v>30</v>
      </c>
      <c r="L6" s="30" t="s">
        <v>30</v>
      </c>
      <c r="M6" s="30" t="s">
        <v>30</v>
      </c>
      <c r="N6" s="30" t="s">
        <v>30</v>
      </c>
      <c r="O6" s="30" t="s">
        <v>21</v>
      </c>
      <c r="P6" s="30" t="s">
        <v>30</v>
      </c>
      <c r="Q6" s="30" t="s">
        <v>30</v>
      </c>
      <c r="R6" s="30" t="s">
        <v>30</v>
      </c>
      <c r="S6" s="30" t="s">
        <v>30</v>
      </c>
      <c r="T6" s="30" t="s">
        <v>30</v>
      </c>
      <c r="U6" s="30" t="s">
        <v>30</v>
      </c>
      <c r="V6" s="30" t="s">
        <v>30</v>
      </c>
      <c r="W6" s="33" t="str">
        <f t="shared" si="3"/>
        <v>#REF!</v>
      </c>
      <c r="X6" s="30" t="s">
        <v>37</v>
      </c>
      <c r="Y6" s="40" t="s">
        <v>44</v>
      </c>
      <c r="Z6" s="4"/>
      <c r="AA6" s="4"/>
      <c r="AB6" s="5"/>
    </row>
    <row r="7" ht="15.75" customHeight="1">
      <c r="A7" s="25">
        <f t="shared" si="1"/>
        <v>2</v>
      </c>
      <c r="B7" s="25">
        <f t="shared" si="2"/>
        <v>5</v>
      </c>
      <c r="C7" s="26" t="s">
        <v>184</v>
      </c>
      <c r="D7" s="27" t="s">
        <v>40</v>
      </c>
      <c r="E7" s="28" t="s">
        <v>41</v>
      </c>
      <c r="F7" s="28"/>
      <c r="G7" s="29" t="s">
        <v>20</v>
      </c>
      <c r="H7" s="30" t="s">
        <v>21</v>
      </c>
      <c r="I7" s="31" t="s">
        <v>42</v>
      </c>
      <c r="J7" s="32" t="s">
        <v>43</v>
      </c>
      <c r="K7" s="30" t="s">
        <v>21</v>
      </c>
      <c r="L7" s="30" t="s">
        <v>21</v>
      </c>
      <c r="M7" s="30"/>
      <c r="N7" s="30" t="s">
        <v>21</v>
      </c>
      <c r="O7" s="30" t="s">
        <v>21</v>
      </c>
      <c r="P7" s="30"/>
      <c r="Q7" s="30" t="s">
        <v>21</v>
      </c>
      <c r="R7" s="30" t="s">
        <v>21</v>
      </c>
      <c r="S7" s="30"/>
      <c r="T7" s="30" t="s">
        <v>24</v>
      </c>
      <c r="V7" s="30" t="s">
        <v>21</v>
      </c>
      <c r="W7" s="33" t="str">
        <f t="shared" ref="W7:W12" si="4">SUM( (COUNTIF(K7,"A") + (COUNTIF(K7,"T")/2) + (COUNTIF(K7,"O")/2) )+ (COUNTIF(L7,"A") + (COUNTIF(L7,"T")/2) + (COUNTIF(L7,"O")/2) )+ (COUNTIF(M7,"A") + (COUNTIF(M7,"T")/2) + (COUNTIF(M7,"O")/2) )+ (COUNTIF(N7,"A") + (COUNTIF(N7,"T")/2) + (COUNTIF(N7,"O")/2) )+ (COUNTIF(O7,"A") + (COUNTIF(O7,"T")/2) + (COUNTIF(O7,"O")/2) )+ (COUNTIF(P7,"A") + (COUNTIF(P7,"T")/2) + (COUNTIF(P7,"O")/2) )+ (COUNTIF(Q7,"A") + (COUNTIF(Q7,"T")/2) + (COUNTIF(Q7,"O")/2) )+ (COUNTIF(R7,"A") + (COUNTIF(R7,"T")/2) + (COUNTIF(R7,"O")/2) )+ (COUNTIF(S7,"A") + (COUNTIF(S7,"T")/2) + (COUNTIF(S7,"O")/2) )+ (COUNTIF(#REF!,"A") + (COUNTIF(#REF!,"T")/2) + (COUNTIF(#REF!,"O")/2) )+ (COUNTIF(T7,"A") + (COUNTIF(T7,"T")/2) + (COUNTIF(T7,"O")/2) )+ (COUNTIF(V7,"A") + (COUNTIF(V7,"T")/2) + (COUNTIF(V7,"O")/2) )+ (COUNTIF(#REF!,"A") + (COUNTIF(#REF!,"T")/2) + (COUNTIF(#REF!,"O")/2) ) )/$W$1</f>
        <v>#REF!</v>
      </c>
      <c r="X7" s="30" t="s">
        <v>30</v>
      </c>
      <c r="Y7" s="38" t="s">
        <v>45</v>
      </c>
      <c r="Z7" s="4"/>
      <c r="AA7" s="4"/>
      <c r="AB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100</v>
      </c>
      <c r="E8" s="28" t="s">
        <v>41</v>
      </c>
      <c r="F8" s="28" t="s">
        <v>28</v>
      </c>
      <c r="G8" s="29" t="s">
        <v>20</v>
      </c>
      <c r="H8" s="30" t="s">
        <v>21</v>
      </c>
      <c r="I8" s="31" t="s">
        <v>50</v>
      </c>
      <c r="J8" s="32" t="s">
        <v>51</v>
      </c>
      <c r="K8" s="30" t="s">
        <v>24</v>
      </c>
      <c r="L8" s="30" t="s">
        <v>21</v>
      </c>
      <c r="M8" s="30"/>
      <c r="N8" s="30" t="s">
        <v>24</v>
      </c>
      <c r="O8" s="30" t="s">
        <v>24</v>
      </c>
      <c r="P8" s="30"/>
      <c r="Q8" s="30" t="s">
        <v>24</v>
      </c>
      <c r="R8" s="30" t="s">
        <v>24</v>
      </c>
      <c r="S8" s="30"/>
      <c r="T8" s="30" t="s">
        <v>24</v>
      </c>
      <c r="V8" s="30" t="s">
        <v>24</v>
      </c>
      <c r="W8" s="33" t="str">
        <f t="shared" si="4"/>
        <v>#REF!</v>
      </c>
      <c r="X8" s="30" t="s">
        <v>52</v>
      </c>
      <c r="Y8" s="38" t="s">
        <v>53</v>
      </c>
      <c r="Z8" s="4"/>
      <c r="AA8" s="4"/>
      <c r="AB8" s="5"/>
    </row>
    <row r="9" ht="15.75" customHeight="1">
      <c r="A9" s="25">
        <f t="shared" si="1"/>
        <v>3</v>
      </c>
      <c r="B9" s="25">
        <f t="shared" si="2"/>
        <v>8</v>
      </c>
      <c r="C9" s="26" t="s">
        <v>54</v>
      </c>
      <c r="D9" s="27" t="s">
        <v>47</v>
      </c>
      <c r="E9" s="28" t="s">
        <v>41</v>
      </c>
      <c r="F9" s="28" t="s">
        <v>48</v>
      </c>
      <c r="G9" s="29" t="s">
        <v>49</v>
      </c>
      <c r="H9" s="30" t="s">
        <v>21</v>
      </c>
      <c r="I9" s="31" t="s">
        <v>50</v>
      </c>
      <c r="J9" s="32" t="s">
        <v>57</v>
      </c>
      <c r="K9" s="30" t="s">
        <v>21</v>
      </c>
      <c r="L9" s="30" t="s">
        <v>21</v>
      </c>
      <c r="M9" s="30"/>
      <c r="N9" s="30" t="s">
        <v>21</v>
      </c>
      <c r="O9" s="30" t="s">
        <v>21</v>
      </c>
      <c r="P9" s="30"/>
      <c r="Q9" s="30" t="s">
        <v>21</v>
      </c>
      <c r="R9" s="30" t="s">
        <v>21</v>
      </c>
      <c r="S9" s="30" t="s">
        <v>58</v>
      </c>
      <c r="T9" s="30" t="s">
        <v>21</v>
      </c>
      <c r="V9" s="30" t="s">
        <v>21</v>
      </c>
      <c r="W9" s="33" t="str">
        <f t="shared" si="4"/>
        <v>#REF!</v>
      </c>
      <c r="X9" s="30" t="s">
        <v>58</v>
      </c>
      <c r="Y9" s="38" t="s">
        <v>59</v>
      </c>
      <c r="Z9" s="4"/>
      <c r="AA9" s="4"/>
      <c r="AB9" s="5"/>
    </row>
    <row r="10" ht="15.75" customHeight="1">
      <c r="A10" s="25">
        <f t="shared" si="1"/>
        <v>3</v>
      </c>
      <c r="B10" s="25">
        <f t="shared" si="2"/>
        <v>9</v>
      </c>
      <c r="C10" s="26" t="s">
        <v>64</v>
      </c>
      <c r="D10" s="27" t="s">
        <v>121</v>
      </c>
      <c r="E10" s="28" t="s">
        <v>41</v>
      </c>
      <c r="F10" s="28" t="s">
        <v>19</v>
      </c>
      <c r="G10" s="29" t="s">
        <v>49</v>
      </c>
      <c r="H10" s="30" t="s">
        <v>21</v>
      </c>
      <c r="I10" s="31" t="s">
        <v>50</v>
      </c>
      <c r="J10" s="32" t="s">
        <v>63</v>
      </c>
      <c r="K10" s="30" t="s">
        <v>21</v>
      </c>
      <c r="L10" s="30" t="s">
        <v>21</v>
      </c>
      <c r="M10" s="30"/>
      <c r="N10" s="30" t="s">
        <v>21</v>
      </c>
      <c r="O10" s="30" t="s">
        <v>24</v>
      </c>
      <c r="P10" s="30" t="s">
        <v>37</v>
      </c>
      <c r="Q10" s="30" t="s">
        <v>37</v>
      </c>
      <c r="R10" s="30" t="s">
        <v>37</v>
      </c>
      <c r="S10" s="30"/>
      <c r="T10" s="30" t="s">
        <v>21</v>
      </c>
      <c r="V10" s="30" t="s">
        <v>21</v>
      </c>
      <c r="W10" s="33" t="str">
        <f t="shared" si="4"/>
        <v>#REF!</v>
      </c>
      <c r="X10" s="30" t="s">
        <v>65</v>
      </c>
      <c r="Y10" s="38" t="s">
        <v>66</v>
      </c>
      <c r="Z10" s="4"/>
      <c r="AA10" s="4"/>
      <c r="AB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56</v>
      </c>
      <c r="F11" s="28" t="s">
        <v>19</v>
      </c>
      <c r="G11" s="29" t="s">
        <v>20</v>
      </c>
      <c r="H11" s="30" t="s">
        <v>21</v>
      </c>
      <c r="I11" s="31" t="s">
        <v>50</v>
      </c>
      <c r="J11" s="32" t="s">
        <v>68</v>
      </c>
      <c r="K11" s="30" t="s">
        <v>33</v>
      </c>
      <c r="L11" s="30" t="s">
        <v>21</v>
      </c>
      <c r="M11" s="30"/>
      <c r="N11" s="30" t="s">
        <v>33</v>
      </c>
      <c r="O11" s="30" t="s">
        <v>21</v>
      </c>
      <c r="P11" s="30"/>
      <c r="Q11" s="30" t="s">
        <v>24</v>
      </c>
      <c r="R11" s="30" t="s">
        <v>21</v>
      </c>
      <c r="S11" s="30"/>
      <c r="T11" s="30" t="s">
        <v>21</v>
      </c>
      <c r="V11" s="30" t="s">
        <v>24</v>
      </c>
      <c r="W11" s="33" t="str">
        <f t="shared" si="4"/>
        <v>#REF!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64</v>
      </c>
      <c r="D12" s="27" t="s">
        <v>55</v>
      </c>
      <c r="E12" s="28" t="s">
        <v>41</v>
      </c>
      <c r="F12" s="28" t="s">
        <v>56</v>
      </c>
      <c r="G12" s="29" t="s">
        <v>49</v>
      </c>
      <c r="H12" s="30" t="s">
        <v>21</v>
      </c>
      <c r="I12" s="31" t="s">
        <v>50</v>
      </c>
      <c r="J12" s="32" t="s">
        <v>68</v>
      </c>
      <c r="K12" s="30" t="s">
        <v>21</v>
      </c>
      <c r="L12" s="30" t="s">
        <v>21</v>
      </c>
      <c r="M12" s="30"/>
      <c r="N12" s="30" t="s">
        <v>24</v>
      </c>
      <c r="O12" s="30" t="s">
        <v>21</v>
      </c>
      <c r="P12" s="30"/>
      <c r="Q12" s="30" t="s">
        <v>21</v>
      </c>
      <c r="R12" s="30" t="s">
        <v>21</v>
      </c>
      <c r="S12" s="30"/>
      <c r="T12" s="30" t="s">
        <v>21</v>
      </c>
      <c r="V12" s="30" t="s">
        <v>21</v>
      </c>
      <c r="W12" s="33" t="str">
        <f t="shared" si="4"/>
        <v>#REF!</v>
      </c>
      <c r="X12" s="43" t="s">
        <v>72</v>
      </c>
      <c r="Y12" s="43" t="s">
        <v>73</v>
      </c>
      <c r="Z12" s="44"/>
      <c r="AA12" s="43" t="s">
        <v>74</v>
      </c>
      <c r="AB12" s="43" t="s">
        <v>73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79</v>
      </c>
      <c r="D13" s="27" t="s">
        <v>109</v>
      </c>
      <c r="E13" s="28" t="s">
        <v>19</v>
      </c>
      <c r="F13" s="28"/>
      <c r="G13" s="29" t="s">
        <v>20</v>
      </c>
      <c r="H13" s="42" t="s">
        <v>37</v>
      </c>
      <c r="I13" s="31" t="s">
        <v>50</v>
      </c>
      <c r="J13" s="32" t="s">
        <v>68</v>
      </c>
      <c r="K13" s="42" t="s">
        <v>24</v>
      </c>
      <c r="L13" s="42" t="s">
        <v>24</v>
      </c>
      <c r="M13" s="42"/>
      <c r="N13" s="42" t="s">
        <v>37</v>
      </c>
      <c r="O13" s="42" t="s">
        <v>37</v>
      </c>
      <c r="P13" s="42" t="s">
        <v>37</v>
      </c>
      <c r="Q13" s="42" t="s">
        <v>37</v>
      </c>
      <c r="R13" s="42" t="s">
        <v>37</v>
      </c>
      <c r="S13" s="42" t="s">
        <v>37</v>
      </c>
      <c r="T13" s="42" t="s">
        <v>37</v>
      </c>
      <c r="U13" s="42" t="s">
        <v>37</v>
      </c>
      <c r="V13" s="42" t="s">
        <v>37</v>
      </c>
      <c r="W13" s="33" t="str">
        <f t="shared" ref="W13:W14" si="5">SUM( (COUNTIF(K13,"A") + (COUNTIF(K13,"T")/2) + (COUNTIF(K13,"O")/2) )+ (COUNTIF(L13,"A") + (COUNTIF(L13,"T")/2) + (COUNTIF(L13,"O")/2) )+ (COUNTIF(M13,"A") + (COUNTIF(M13,"T")/2) + (COUNTIF(M13,"O")/2) )+ (COUNTIF(N13,"A") + (COUNTIF(N13,"T")/2) + (COUNTIF(N13,"O")/2) )+ (COUNTIF(O13,"A") + (COUNTIF(O13,"T")/2) + (COUNTIF(O13,"O")/2) )+ (COUNTIF(P13,"A") + (COUNTIF(P13,"T")/2) + (COUNTIF(P13,"O")/2) )+ (COUNTIF(Q13,"A") + (COUNTIF(Q13,"T")/2) + (COUNTIF(Q13,"O")/2) )+ (COUNTIF(R13,"A") + (COUNTIF(R13,"T")/2) + (COUNTIF(R13,"O")/2) )+ (COUNTIF(S13,"A") + (COUNTIF(S13,"T")/2) + (COUNTIF(S13,"O")/2) )+ (COUNTIF(#REF!,"A") + (COUNTIF(#REF!,"T")/2) + (COUNTIF(#REF!,"O")/2) )+ (COUNTIF(T13,"A") + (COUNTIF(T13,"T")/2) + (COUNTIF(T13,"O")/2) )+ (COUNTIF(U13,"A") + (COUNTIF(U13,"T")/2) + (COUNTIF(U13,"O")/2) )+ (COUNTIF(V13,"A") + (COUNTIF(V13,"T")/2) + (COUNTIF(V13,"O")/2) ) )/$W$1</f>
        <v>#REF!</v>
      </c>
      <c r="X13" s="45" t="s">
        <v>77</v>
      </c>
      <c r="Y13" s="46">
        <f>COUNTIF(I3:I98,"1° P - 1°M")</f>
        <v>16</v>
      </c>
      <c r="Z13" s="44"/>
      <c r="AA13" s="45" t="s">
        <v>78</v>
      </c>
      <c r="AB13" s="46">
        <f>COUNTIF(C3:C98,"Rct.")</f>
        <v>9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111</v>
      </c>
      <c r="E14" s="28" t="s">
        <v>19</v>
      </c>
      <c r="F14" s="28"/>
      <c r="G14" s="29" t="s">
        <v>112</v>
      </c>
      <c r="H14" s="30" t="s">
        <v>21</v>
      </c>
      <c r="I14" s="31" t="s">
        <v>50</v>
      </c>
      <c r="J14" s="32" t="s">
        <v>68</v>
      </c>
      <c r="K14" s="30" t="s">
        <v>30</v>
      </c>
      <c r="L14" s="30" t="s">
        <v>30</v>
      </c>
      <c r="M14" s="30" t="s">
        <v>30</v>
      </c>
      <c r="N14" s="30" t="s">
        <v>30</v>
      </c>
      <c r="O14" s="30" t="s">
        <v>21</v>
      </c>
      <c r="P14" s="30" t="s">
        <v>58</v>
      </c>
      <c r="Q14" s="30" t="s">
        <v>21</v>
      </c>
      <c r="R14" s="30" t="s">
        <v>21</v>
      </c>
      <c r="S14" s="30"/>
      <c r="T14" s="30" t="s">
        <v>33</v>
      </c>
      <c r="U14" s="30" t="s">
        <v>37</v>
      </c>
      <c r="V14" s="30" t="s">
        <v>37</v>
      </c>
      <c r="W14" s="33" t="str">
        <f t="shared" si="5"/>
        <v>#REF!</v>
      </c>
      <c r="X14" s="45" t="s">
        <v>81</v>
      </c>
      <c r="Y14" s="46">
        <f>COUNTIF(I3:I98,"1° P - 2°M")</f>
        <v>14</v>
      </c>
      <c r="Z14" s="44"/>
      <c r="AA14" s="45" t="s">
        <v>82</v>
      </c>
      <c r="AB14" s="46">
        <f>COUNTIF(C3:C98,"Inf.")</f>
        <v>14</v>
      </c>
    </row>
    <row r="15" ht="15.75" customHeight="1">
      <c r="A15" s="25">
        <f t="shared" si="1"/>
        <v>3</v>
      </c>
      <c r="B15" s="25">
        <f t="shared" si="2"/>
        <v>10</v>
      </c>
      <c r="C15" s="26" t="s">
        <v>84</v>
      </c>
      <c r="D15" s="27" t="s">
        <v>88</v>
      </c>
      <c r="E15" s="28" t="s">
        <v>19</v>
      </c>
      <c r="F15" s="28"/>
      <c r="G15" s="29" t="s">
        <v>62</v>
      </c>
      <c r="H15" s="30" t="s">
        <v>30</v>
      </c>
      <c r="I15" s="31" t="s">
        <v>50</v>
      </c>
      <c r="J15" s="32" t="s">
        <v>85</v>
      </c>
      <c r="K15" s="30" t="s">
        <v>24</v>
      </c>
      <c r="L15" s="30" t="s">
        <v>24</v>
      </c>
      <c r="M15" s="30"/>
      <c r="N15" s="30" t="s">
        <v>33</v>
      </c>
      <c r="O15" s="30" t="s">
        <v>24</v>
      </c>
      <c r="P15" s="30"/>
      <c r="Q15" s="30" t="s">
        <v>24</v>
      </c>
      <c r="R15" s="30" t="s">
        <v>24</v>
      </c>
      <c r="S15" s="30"/>
      <c r="T15" s="30" t="s">
        <v>24</v>
      </c>
      <c r="V15" s="30" t="s">
        <v>30</v>
      </c>
      <c r="W15" s="33" t="str">
        <f t="shared" ref="W15:W17" si="6">SUM( (COUNTIF(K15,"A") + (COUNTIF(K15,"T")/2) + (COUNTIF(K15,"O")/2) )+ (COUNTIF(L15,"A") + (COUNTIF(L15,"T")/2) + (COUNTIF(L15,"O")/2) )+ (COUNTIF(M15,"A") + (COUNTIF(M15,"T")/2) + (COUNTIF(M15,"O")/2) )+ (COUNTIF(N15,"A") + (COUNTIF(N15,"T")/2) + (COUNTIF(N15,"O")/2) )+ (COUNTIF(O15,"A") + (COUNTIF(O15,"T")/2) + (COUNTIF(O15,"O")/2) )+ (COUNTIF(P15,"A") + (COUNTIF(P15,"T")/2) + (COUNTIF(P15,"O")/2) )+ (COUNTIF(Q15,"A") + (COUNTIF(Q15,"T")/2) + (COUNTIF(Q15,"O")/2) )+ (COUNTIF(R15,"A") + (COUNTIF(R15,"T")/2) + (COUNTIF(R15,"O")/2) )+ (COUNTIF(S15,"A") + (COUNTIF(S15,"T")/2) + (COUNTIF(S15,"O")/2) )+ (COUNTIF(#REF!,"A") + (COUNTIF(#REF!,"T")/2) + (COUNTIF(#REF!,"O")/2) )+ (COUNTIF(T15,"A") + (COUNTIF(T15,"T")/2) + (COUNTIF(T15,"O")/2) )+ (COUNTIF(V15,"A") + (COUNTIF(V15,"T")/2) + (COUNTIF(V15,"O")/2) )+ (COUNTIF(#REF!,"A") + (COUNTIF(#REF!,"T")/2) + (COUNTIF(#REF!,"O")/2) ) )/$W$1</f>
        <v>#REF!</v>
      </c>
      <c r="X15" s="45" t="s">
        <v>86</v>
      </c>
      <c r="Y15" s="46">
        <f>COUNTIF(I3:I98,"1° PP - 1°Pa")</f>
        <v>11</v>
      </c>
      <c r="Z15" s="44"/>
      <c r="AA15" s="45" t="s">
        <v>87</v>
      </c>
      <c r="AB15" s="46">
        <f>COUNTIF(C3:C98,"Dis.")</f>
        <v>16</v>
      </c>
    </row>
    <row r="16" ht="15.75" customHeight="1">
      <c r="A16" s="25">
        <f t="shared" si="1"/>
        <v>3</v>
      </c>
      <c r="B16" s="25">
        <f t="shared" si="2"/>
        <v>10</v>
      </c>
      <c r="C16" s="26" t="s">
        <v>84</v>
      </c>
      <c r="D16" s="27" t="s">
        <v>69</v>
      </c>
      <c r="E16" s="28" t="s">
        <v>19</v>
      </c>
      <c r="F16" s="28" t="s">
        <v>70</v>
      </c>
      <c r="G16" s="29" t="s">
        <v>71</v>
      </c>
      <c r="H16" s="30" t="s">
        <v>21</v>
      </c>
      <c r="I16" s="31" t="s">
        <v>50</v>
      </c>
      <c r="J16" s="32" t="s">
        <v>85</v>
      </c>
      <c r="K16" s="30" t="s">
        <v>24</v>
      </c>
      <c r="L16" s="30" t="s">
        <v>24</v>
      </c>
      <c r="M16" s="30"/>
      <c r="N16" s="30" t="s">
        <v>21</v>
      </c>
      <c r="O16" s="30" t="s">
        <v>24</v>
      </c>
      <c r="P16" s="30" t="s">
        <v>58</v>
      </c>
      <c r="Q16" s="30" t="s">
        <v>21</v>
      </c>
      <c r="R16" s="30" t="s">
        <v>21</v>
      </c>
      <c r="S16" s="30" t="s">
        <v>58</v>
      </c>
      <c r="T16" s="30" t="s">
        <v>21</v>
      </c>
      <c r="V16" s="30" t="s">
        <v>21</v>
      </c>
      <c r="W16" s="33" t="str">
        <f t="shared" si="6"/>
        <v>#REF!</v>
      </c>
      <c r="X16" s="45" t="s">
        <v>89</v>
      </c>
      <c r="Y16" s="46">
        <f>COUNTIF(I3:I98,"Espectro")</f>
        <v>3</v>
      </c>
      <c r="Z16" s="44"/>
      <c r="AA16" s="45" t="s">
        <v>90</v>
      </c>
      <c r="AB16" s="46">
        <f>COUNTIF(C3:C98,"Cbo.")</f>
        <v>7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94</v>
      </c>
      <c r="E17" s="28" t="s">
        <v>19</v>
      </c>
      <c r="F17" s="28" t="s">
        <v>41</v>
      </c>
      <c r="G17" s="29" t="s">
        <v>49</v>
      </c>
      <c r="H17" s="42" t="s">
        <v>21</v>
      </c>
      <c r="I17" s="31" t="s">
        <v>50</v>
      </c>
      <c r="J17" s="32" t="s">
        <v>85</v>
      </c>
      <c r="K17" s="42" t="s">
        <v>21</v>
      </c>
      <c r="L17" s="42" t="s">
        <v>21</v>
      </c>
      <c r="M17" s="42" t="s">
        <v>58</v>
      </c>
      <c r="N17" s="42" t="s">
        <v>21</v>
      </c>
      <c r="O17" s="42" t="s">
        <v>21</v>
      </c>
      <c r="P17" s="42" t="s">
        <v>58</v>
      </c>
      <c r="Q17" s="42" t="s">
        <v>21</v>
      </c>
      <c r="R17" s="42" t="s">
        <v>21</v>
      </c>
      <c r="S17" s="42"/>
      <c r="T17" s="42" t="s">
        <v>21</v>
      </c>
      <c r="V17" s="42" t="s">
        <v>24</v>
      </c>
      <c r="W17" s="33" t="str">
        <f t="shared" si="6"/>
        <v>#REF!</v>
      </c>
      <c r="X17" s="45" t="s">
        <v>92</v>
      </c>
      <c r="Y17" s="46">
        <f>COUNTIF(I3:I98,"Caballeria")</f>
        <v>11</v>
      </c>
      <c r="Z17" s="44"/>
      <c r="AA17" s="45" t="s">
        <v>93</v>
      </c>
      <c r="AB17" s="46">
        <f>COUNTIF(C3:C98,"Cbo1.")</f>
        <v>6</v>
      </c>
    </row>
    <row r="18" ht="15.75" customHeight="1">
      <c r="A18" s="25">
        <f t="shared" si="1"/>
        <v>3</v>
      </c>
      <c r="B18" s="25">
        <f t="shared" si="2"/>
        <v>8</v>
      </c>
      <c r="C18" s="26" t="s">
        <v>54</v>
      </c>
      <c r="D18" s="27" t="s">
        <v>103</v>
      </c>
      <c r="E18" s="28" t="s">
        <v>70</v>
      </c>
      <c r="F18" s="28" t="s">
        <v>19</v>
      </c>
      <c r="G18" s="29" t="s">
        <v>20</v>
      </c>
      <c r="H18" s="30" t="s">
        <v>30</v>
      </c>
      <c r="I18" s="31" t="s">
        <v>50</v>
      </c>
      <c r="J18" s="32"/>
      <c r="K18" s="30" t="s">
        <v>30</v>
      </c>
      <c r="L18" s="30" t="s">
        <v>30</v>
      </c>
      <c r="M18" s="30" t="s">
        <v>30</v>
      </c>
      <c r="N18" s="30" t="s">
        <v>30</v>
      </c>
      <c r="O18" s="30" t="s">
        <v>30</v>
      </c>
      <c r="P18" s="30" t="s">
        <v>30</v>
      </c>
      <c r="Q18" s="30" t="s">
        <v>30</v>
      </c>
      <c r="R18" s="30" t="s">
        <v>30</v>
      </c>
      <c r="S18" s="30" t="s">
        <v>30</v>
      </c>
      <c r="T18" s="30" t="s">
        <v>30</v>
      </c>
      <c r="U18" s="30" t="s">
        <v>30</v>
      </c>
      <c r="V18" s="30" t="s">
        <v>30</v>
      </c>
      <c r="W18" s="33" t="str">
        <f t="shared" ref="W18:W61" si="7">SUM( (COUNTIF(K18,"A") + (COUNTIF(K18,"T")/2) + (COUNTIF(K18,"O")/2) )+ (COUNTIF(L18,"A") + (COUNTIF(L18,"T")/2) + (COUNTIF(L18,"O")/2) )+ (COUNTIF(M18,"A") + (COUNTIF(M18,"T")/2) + (COUNTIF(M18,"O")/2) )+ (COUNTIF(N18,"A") + (COUNTIF(N18,"T")/2) + (COUNTIF(N18,"O")/2) )+ (COUNTIF(O18,"A") + (COUNTIF(O18,"T")/2) + (COUNTIF(O18,"O")/2) )+ (COUNTIF(P18,"A") + (COUNTIF(P18,"T")/2) + (COUNTIF(P18,"O")/2) )+ (COUNTIF(Q18,"A") + (COUNTIF(Q18,"T")/2) + (COUNTIF(Q18,"O")/2) )+ (COUNTIF(R18,"A") + (COUNTIF(R18,"T")/2) + (COUNTIF(R18,"O")/2) )+ (COUNTIF(S18,"A") + (COUNTIF(S18,"T")/2) + (COUNTIF(S18,"O")/2) )+ (COUNTIF(#REF!,"A") + (COUNTIF(#REF!,"T")/2) + (COUNTIF(#REF!,"O")/2) )+ (COUNTIF(T18,"A") + (COUNTIF(T18,"T")/2) + (COUNTIF(T18,"O")/2) )+ (COUNTIF(U18,"A") + (COUNTIF(U18,"T")/2) + (COUNTIF(U18,"O")/2) )+ (COUNTIF(V18,"A") + (COUNTIF(V18,"T")/2) + (COUNTIF(V18,"O")/2) ) )/$W$1</f>
        <v>#REF!</v>
      </c>
      <c r="X18" s="45" t="s">
        <v>95</v>
      </c>
      <c r="Y18" s="46">
        <f>COUNTIF(I3:I98,"FAZR")</f>
        <v>4</v>
      </c>
      <c r="Z18" s="44"/>
      <c r="AA18" s="45" t="s">
        <v>96</v>
      </c>
      <c r="AB18" s="46">
        <f>COUNTIF(C3:C98,"Sgt.")</f>
        <v>7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54</v>
      </c>
      <c r="D19" s="27" t="s">
        <v>105</v>
      </c>
      <c r="E19" s="28" t="s">
        <v>41</v>
      </c>
      <c r="F19" s="28" t="s">
        <v>56</v>
      </c>
      <c r="G19" s="29" t="s">
        <v>49</v>
      </c>
      <c r="H19" s="30" t="s">
        <v>30</v>
      </c>
      <c r="I19" s="31" t="s">
        <v>50</v>
      </c>
      <c r="J19" s="32"/>
      <c r="K19" s="30" t="s">
        <v>30</v>
      </c>
      <c r="L19" s="30" t="s">
        <v>30</v>
      </c>
      <c r="M19" s="30" t="s">
        <v>30</v>
      </c>
      <c r="N19" s="30" t="s">
        <v>30</v>
      </c>
      <c r="O19" s="30" t="s">
        <v>30</v>
      </c>
      <c r="P19" s="30" t="s">
        <v>30</v>
      </c>
      <c r="Q19" s="30" t="s">
        <v>30</v>
      </c>
      <c r="R19" s="30" t="s">
        <v>30</v>
      </c>
      <c r="S19" s="30" t="s">
        <v>30</v>
      </c>
      <c r="T19" s="30" t="s">
        <v>30</v>
      </c>
      <c r="U19" s="30" t="s">
        <v>30</v>
      </c>
      <c r="V19" s="30" t="s">
        <v>30</v>
      </c>
      <c r="W19" s="33" t="str">
        <f t="shared" si="7"/>
        <v>#REF!</v>
      </c>
      <c r="X19" s="45" t="s">
        <v>98</v>
      </c>
      <c r="Y19" s="46">
        <v>8.0</v>
      </c>
      <c r="Z19" s="44"/>
      <c r="AA19" s="45" t="s">
        <v>99</v>
      </c>
      <c r="AB19" s="46">
        <f>COUNTIF(C3:C98,"Sgt1.")</f>
        <v>1</v>
      </c>
    </row>
    <row r="20" ht="15.75" customHeight="1">
      <c r="A20" s="25">
        <f t="shared" si="1"/>
        <v>3</v>
      </c>
      <c r="B20" s="25">
        <f t="shared" si="2"/>
        <v>9</v>
      </c>
      <c r="C20" s="26" t="s">
        <v>64</v>
      </c>
      <c r="D20" s="27" t="s">
        <v>107</v>
      </c>
      <c r="E20" s="28" t="s">
        <v>70</v>
      </c>
      <c r="F20" s="28" t="s">
        <v>48</v>
      </c>
      <c r="G20" s="29" t="s">
        <v>20</v>
      </c>
      <c r="H20" s="30" t="s">
        <v>30</v>
      </c>
      <c r="I20" s="31" t="s">
        <v>50</v>
      </c>
      <c r="J20" s="32"/>
      <c r="K20" s="30" t="s">
        <v>30</v>
      </c>
      <c r="L20" s="30" t="s">
        <v>30</v>
      </c>
      <c r="M20" s="30" t="s">
        <v>30</v>
      </c>
      <c r="N20" s="30" t="s">
        <v>30</v>
      </c>
      <c r="O20" s="30" t="s">
        <v>30</v>
      </c>
      <c r="P20" s="30" t="s">
        <v>30</v>
      </c>
      <c r="Q20" s="30" t="s">
        <v>30</v>
      </c>
      <c r="R20" s="30" t="s">
        <v>30</v>
      </c>
      <c r="S20" s="30" t="s">
        <v>30</v>
      </c>
      <c r="T20" s="30" t="s">
        <v>30</v>
      </c>
      <c r="U20" s="30" t="s">
        <v>30</v>
      </c>
      <c r="V20" s="30" t="s">
        <v>30</v>
      </c>
      <c r="W20" s="33" t="str">
        <f t="shared" si="7"/>
        <v>#REF!</v>
      </c>
      <c r="X20" s="45" t="s">
        <v>101</v>
      </c>
      <c r="Y20" s="46">
        <f>COUNTIF(H3:H98,"R")</f>
        <v>20</v>
      </c>
      <c r="Z20" s="44"/>
      <c r="AA20" s="45" t="s">
        <v>102</v>
      </c>
      <c r="AB20" s="46">
        <f>COUNTIF(C3:C98,"SgtM.")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64</v>
      </c>
      <c r="D21" s="27" t="s">
        <v>83</v>
      </c>
      <c r="E21" s="28" t="s">
        <v>76</v>
      </c>
      <c r="F21" s="28" t="s">
        <v>19</v>
      </c>
      <c r="G21" s="29" t="s">
        <v>49</v>
      </c>
      <c r="H21" s="30" t="s">
        <v>30</v>
      </c>
      <c r="I21" s="31" t="s">
        <v>50</v>
      </c>
      <c r="J21" s="32"/>
      <c r="K21" s="30" t="s">
        <v>30</v>
      </c>
      <c r="L21" s="30" t="s">
        <v>30</v>
      </c>
      <c r="M21" s="30" t="s">
        <v>30</v>
      </c>
      <c r="N21" s="30" t="s">
        <v>30</v>
      </c>
      <c r="O21" s="30" t="s">
        <v>30</v>
      </c>
      <c r="P21" s="30" t="s">
        <v>30</v>
      </c>
      <c r="Q21" s="30" t="s">
        <v>30</v>
      </c>
      <c r="R21" s="30" t="s">
        <v>30</v>
      </c>
      <c r="S21" s="30" t="s">
        <v>30</v>
      </c>
      <c r="T21" s="30" t="s">
        <v>30</v>
      </c>
      <c r="U21" s="30" t="s">
        <v>30</v>
      </c>
      <c r="V21" s="30" t="s">
        <v>30</v>
      </c>
      <c r="W21" s="33" t="str">
        <f t="shared" si="7"/>
        <v>#REF!</v>
      </c>
      <c r="X21" s="45" t="s">
        <v>38</v>
      </c>
      <c r="Y21" s="46">
        <f>COUNTIF(H3:H98,"L")</f>
        <v>3</v>
      </c>
      <c r="Z21" s="44"/>
      <c r="AA21" s="45" t="s">
        <v>104</v>
      </c>
      <c r="AB21" s="46">
        <f>COUNTIF(C3:C98,"Tte.")</f>
        <v>1</v>
      </c>
    </row>
    <row r="22" ht="15.75" customHeight="1">
      <c r="A22" s="25">
        <f t="shared" si="1"/>
        <v>3</v>
      </c>
      <c r="B22" s="25">
        <f t="shared" si="2"/>
        <v>10</v>
      </c>
      <c r="C22" s="26" t="s">
        <v>84</v>
      </c>
      <c r="D22" s="27" t="s">
        <v>177</v>
      </c>
      <c r="E22" s="28" t="s">
        <v>19</v>
      </c>
      <c r="F22" s="28" t="s">
        <v>70</v>
      </c>
      <c r="G22" s="29" t="s">
        <v>71</v>
      </c>
      <c r="H22" s="30" t="s">
        <v>30</v>
      </c>
      <c r="I22" s="31" t="s">
        <v>50</v>
      </c>
      <c r="J22" s="32"/>
      <c r="K22" s="30" t="s">
        <v>30</v>
      </c>
      <c r="L22" s="30" t="s">
        <v>30</v>
      </c>
      <c r="M22" s="30" t="s">
        <v>30</v>
      </c>
      <c r="N22" s="30" t="s">
        <v>30</v>
      </c>
      <c r="O22" s="30" t="s">
        <v>30</v>
      </c>
      <c r="P22" s="30" t="s">
        <v>58</v>
      </c>
      <c r="Q22" s="30" t="s">
        <v>21</v>
      </c>
      <c r="R22" s="30" t="s">
        <v>30</v>
      </c>
      <c r="S22" s="30" t="s">
        <v>58</v>
      </c>
      <c r="T22" s="30" t="s">
        <v>30</v>
      </c>
      <c r="U22" s="30" t="s">
        <v>30</v>
      </c>
      <c r="V22" s="30" t="s">
        <v>30</v>
      </c>
      <c r="W22" s="33" t="str">
        <f t="shared" si="7"/>
        <v>#REF!</v>
      </c>
      <c r="X22" s="45"/>
      <c r="Y22" s="46"/>
      <c r="Z22" s="44"/>
      <c r="AA22" s="45" t="s">
        <v>106</v>
      </c>
      <c r="AB22" s="46">
        <f>COUNTIF(C3:C98,"Alf.")</f>
        <v>1</v>
      </c>
    </row>
    <row r="23" ht="15.75" customHeight="1">
      <c r="A23" s="25">
        <f t="shared" si="1"/>
        <v>3</v>
      </c>
      <c r="B23" s="25">
        <v>11.0</v>
      </c>
      <c r="C23" s="26" t="s">
        <v>79</v>
      </c>
      <c r="D23" s="27" t="s">
        <v>247</v>
      </c>
      <c r="E23" s="28" t="s">
        <v>19</v>
      </c>
      <c r="F23" s="28"/>
      <c r="G23" s="29" t="s">
        <v>62</v>
      </c>
      <c r="H23" s="30" t="s">
        <v>30</v>
      </c>
      <c r="I23" s="31" t="s">
        <v>50</v>
      </c>
      <c r="J23" s="32"/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30</v>
      </c>
      <c r="P23" s="30" t="s">
        <v>30</v>
      </c>
      <c r="Q23" s="30" t="s">
        <v>30</v>
      </c>
      <c r="R23" s="30" t="s">
        <v>30</v>
      </c>
      <c r="S23" s="30" t="s">
        <v>30</v>
      </c>
      <c r="T23" s="30" t="s">
        <v>30</v>
      </c>
      <c r="U23" s="30" t="s">
        <v>30</v>
      </c>
      <c r="V23" s="30" t="s">
        <v>30</v>
      </c>
      <c r="W23" s="33" t="str">
        <f t="shared" si="7"/>
        <v>#REF!</v>
      </c>
      <c r="X23" s="45"/>
      <c r="Y23" s="46"/>
      <c r="Z23" s="44"/>
      <c r="AA23" s="45" t="s">
        <v>108</v>
      </c>
      <c r="AB23" s="46">
        <f>COUNTIF(C3:C98,"Cap.")</f>
        <v>2</v>
      </c>
    </row>
    <row r="24" ht="15.75" customHeight="1">
      <c r="A24" s="25">
        <f t="shared" si="1"/>
        <v>4</v>
      </c>
      <c r="B24" s="25">
        <f t="shared" ref="B24:B98" si="8">IF(C24="Cap.",1,IF(C24="Tte.",2,IF(C24="Alf.",3,IF(C24="SgtM.",4,IF(C24="Sgt1.",5,IF(C24="Sgt.",6,IF(C24="Cbo1.",7,IF(C24="Cbo.",8,IF(C24="Dis.",9,IF(C24="Inf.",10,IF(C24="Rct.",11,15)))))))))))</f>
        <v>6</v>
      </c>
      <c r="C24" s="26" t="s">
        <v>113</v>
      </c>
      <c r="D24" s="27" t="s">
        <v>114</v>
      </c>
      <c r="E24" s="28" t="s">
        <v>48</v>
      </c>
      <c r="F24" s="28" t="s">
        <v>76</v>
      </c>
      <c r="G24" s="29" t="s">
        <v>20</v>
      </c>
      <c r="H24" s="30" t="s">
        <v>21</v>
      </c>
      <c r="I24" s="31" t="s">
        <v>115</v>
      </c>
      <c r="J24" s="32" t="s">
        <v>51</v>
      </c>
      <c r="K24" s="30" t="s">
        <v>21</v>
      </c>
      <c r="L24" s="30" t="s">
        <v>21</v>
      </c>
      <c r="M24" s="30" t="s">
        <v>58</v>
      </c>
      <c r="N24" s="30" t="s">
        <v>21</v>
      </c>
      <c r="O24" s="30" t="s">
        <v>21</v>
      </c>
      <c r="P24" s="30"/>
      <c r="Q24" s="30" t="s">
        <v>21</v>
      </c>
      <c r="R24" s="30" t="s">
        <v>21</v>
      </c>
      <c r="S24" s="30"/>
      <c r="T24" s="30" t="s">
        <v>21</v>
      </c>
      <c r="U24" s="30"/>
      <c r="V24" s="30" t="s">
        <v>21</v>
      </c>
      <c r="W24" s="33" t="str">
        <f t="shared" si="7"/>
        <v>#REF!</v>
      </c>
      <c r="X24" s="47"/>
      <c r="Y24" s="47"/>
      <c r="Z24" s="48"/>
      <c r="AA24" s="1"/>
      <c r="AB24" s="1"/>
    </row>
    <row r="25" ht="15.75" customHeight="1">
      <c r="A25" s="25">
        <f t="shared" si="1"/>
        <v>4</v>
      </c>
      <c r="B25" s="25">
        <f t="shared" si="8"/>
        <v>8</v>
      </c>
      <c r="C25" s="26" t="s">
        <v>54</v>
      </c>
      <c r="D25" s="27" t="s">
        <v>118</v>
      </c>
      <c r="E25" s="28" t="s">
        <v>76</v>
      </c>
      <c r="F25" s="28" t="s">
        <v>28</v>
      </c>
      <c r="G25" s="29" t="s">
        <v>62</v>
      </c>
      <c r="H25" s="30" t="s">
        <v>21</v>
      </c>
      <c r="I25" s="31" t="s">
        <v>115</v>
      </c>
      <c r="J25" s="32" t="s">
        <v>57</v>
      </c>
      <c r="K25" s="30" t="s">
        <v>24</v>
      </c>
      <c r="L25" s="30" t="s">
        <v>24</v>
      </c>
      <c r="M25" s="30"/>
      <c r="N25" s="30" t="s">
        <v>21</v>
      </c>
      <c r="O25" s="30" t="s">
        <v>24</v>
      </c>
      <c r="P25" s="30"/>
      <c r="Q25" s="30" t="s">
        <v>21</v>
      </c>
      <c r="R25" s="30" t="s">
        <v>21</v>
      </c>
      <c r="S25" s="30"/>
      <c r="T25" s="30" t="s">
        <v>24</v>
      </c>
      <c r="U25" s="30"/>
      <c r="V25" s="30" t="s">
        <v>24</v>
      </c>
      <c r="W25" s="33" t="str">
        <f t="shared" si="7"/>
        <v>#REF!</v>
      </c>
      <c r="X25" s="43" t="s">
        <v>116</v>
      </c>
      <c r="Y25" s="43" t="s">
        <v>73</v>
      </c>
      <c r="Z25" s="48"/>
      <c r="AA25" s="43" t="s">
        <v>117</v>
      </c>
      <c r="AB25" s="43" t="s">
        <v>73</v>
      </c>
    </row>
    <row r="26" ht="15.75" customHeight="1">
      <c r="A26" s="25">
        <f t="shared" si="1"/>
        <v>4</v>
      </c>
      <c r="B26" s="25">
        <f t="shared" si="8"/>
        <v>9</v>
      </c>
      <c r="C26" s="26" t="s">
        <v>64</v>
      </c>
      <c r="D26" s="27" t="s">
        <v>60</v>
      </c>
      <c r="E26" s="28" t="s">
        <v>61</v>
      </c>
      <c r="F26" s="28" t="s">
        <v>56</v>
      </c>
      <c r="G26" s="29" t="s">
        <v>62</v>
      </c>
      <c r="H26" s="30" t="s">
        <v>21</v>
      </c>
      <c r="I26" s="31" t="s">
        <v>115</v>
      </c>
      <c r="J26" s="32" t="s">
        <v>63</v>
      </c>
      <c r="K26" s="30" t="s">
        <v>30</v>
      </c>
      <c r="L26" s="30" t="s">
        <v>30</v>
      </c>
      <c r="M26" s="30" t="s">
        <v>30</v>
      </c>
      <c r="N26" s="30" t="s">
        <v>30</v>
      </c>
      <c r="O26" s="30" t="s">
        <v>30</v>
      </c>
      <c r="P26" s="30" t="s">
        <v>58</v>
      </c>
      <c r="Q26" s="30" t="s">
        <v>21</v>
      </c>
      <c r="R26" s="30" t="s">
        <v>21</v>
      </c>
      <c r="S26" s="30"/>
      <c r="T26" s="30" t="s">
        <v>21</v>
      </c>
      <c r="U26" s="30"/>
      <c r="V26" s="30" t="s">
        <v>21</v>
      </c>
      <c r="W26" s="33" t="str">
        <f t="shared" si="7"/>
        <v>#REF!</v>
      </c>
      <c r="X26" s="45" t="s">
        <v>119</v>
      </c>
      <c r="Y26" s="46">
        <f>COUNTIF(G3:G98, "Ar")</f>
        <v>16</v>
      </c>
      <c r="Z26" s="44"/>
      <c r="AA26" s="45" t="s">
        <v>120</v>
      </c>
      <c r="AB26" s="46">
        <f>COUNTIF(E3:E98,"AT")+COUNTIF(F3:F98,"AT")</f>
        <v>15</v>
      </c>
    </row>
    <row r="27" ht="15.75" customHeight="1">
      <c r="A27" s="25">
        <f t="shared" si="1"/>
        <v>4</v>
      </c>
      <c r="B27" s="25">
        <f t="shared" si="8"/>
        <v>9</v>
      </c>
      <c r="C27" s="26" t="s">
        <v>64</v>
      </c>
      <c r="D27" s="27" t="s">
        <v>248</v>
      </c>
      <c r="E27" s="28" t="s">
        <v>41</v>
      </c>
      <c r="F27" s="28" t="s">
        <v>48</v>
      </c>
      <c r="G27" s="29" t="s">
        <v>227</v>
      </c>
      <c r="H27" s="30" t="s">
        <v>21</v>
      </c>
      <c r="I27" s="31" t="s">
        <v>115</v>
      </c>
      <c r="J27" s="32" t="s">
        <v>68</v>
      </c>
      <c r="K27" s="30" t="s">
        <v>24</v>
      </c>
      <c r="L27" s="30" t="s">
        <v>24</v>
      </c>
      <c r="M27" s="30"/>
      <c r="N27" s="30" t="s">
        <v>24</v>
      </c>
      <c r="O27" s="30" t="s">
        <v>24</v>
      </c>
      <c r="P27" s="30"/>
      <c r="Q27" s="30" t="s">
        <v>24</v>
      </c>
      <c r="R27" s="30" t="s">
        <v>24</v>
      </c>
      <c r="S27" s="30"/>
      <c r="T27" s="30" t="s">
        <v>24</v>
      </c>
      <c r="U27" s="30"/>
      <c r="V27" s="30" t="s">
        <v>24</v>
      </c>
      <c r="W27" s="33" t="str">
        <f t="shared" si="7"/>
        <v>#REF!</v>
      </c>
      <c r="X27" s="49" t="s">
        <v>122</v>
      </c>
      <c r="Y27" s="46">
        <f>COUNTIF(G3:G98, "Ch")</f>
        <v>11</v>
      </c>
      <c r="Z27" s="44"/>
      <c r="AA27" s="49" t="s">
        <v>123</v>
      </c>
      <c r="AB27" s="46">
        <f>COUNTIF(E3:E98,"FL")+COUNTIF(F3:F98,"FL")</f>
        <v>30</v>
      </c>
    </row>
    <row r="28" ht="15.75" customHeight="1">
      <c r="A28" s="25">
        <f t="shared" si="1"/>
        <v>4</v>
      </c>
      <c r="B28" s="25">
        <f t="shared" si="8"/>
        <v>9</v>
      </c>
      <c r="C28" s="26" t="s">
        <v>64</v>
      </c>
      <c r="D28" s="27" t="s">
        <v>217</v>
      </c>
      <c r="E28" s="28" t="s">
        <v>61</v>
      </c>
      <c r="F28" s="28" t="s">
        <v>70</v>
      </c>
      <c r="G28" s="29" t="s">
        <v>20</v>
      </c>
      <c r="H28" s="30" t="s">
        <v>21</v>
      </c>
      <c r="I28" s="31" t="s">
        <v>115</v>
      </c>
      <c r="J28" s="32" t="s">
        <v>68</v>
      </c>
      <c r="K28" s="30" t="s">
        <v>21</v>
      </c>
      <c r="L28" s="30" t="s">
        <v>21</v>
      </c>
      <c r="M28" s="30"/>
      <c r="N28" s="30" t="s">
        <v>24</v>
      </c>
      <c r="O28" s="30" t="s">
        <v>24</v>
      </c>
      <c r="P28" s="30"/>
      <c r="Q28" s="30" t="s">
        <v>37</v>
      </c>
      <c r="R28" s="30" t="s">
        <v>37</v>
      </c>
      <c r="S28" s="30"/>
      <c r="T28" s="30" t="s">
        <v>24</v>
      </c>
      <c r="U28" s="30"/>
      <c r="V28" s="30" t="s">
        <v>24</v>
      </c>
      <c r="W28" s="33" t="str">
        <f t="shared" si="7"/>
        <v>#REF!</v>
      </c>
      <c r="X28" s="49" t="s">
        <v>126</v>
      </c>
      <c r="Y28" s="46">
        <f>COUNTIF(G3:G98, "Co")</f>
        <v>1</v>
      </c>
      <c r="Z28" s="44"/>
      <c r="AA28" s="49" t="s">
        <v>127</v>
      </c>
      <c r="AB28" s="46">
        <f>COUNTIF(E3:E98,"GL")+COUNTIF(F3:F98,"GL")</f>
        <v>9</v>
      </c>
    </row>
    <row r="29" ht="15.75" customHeight="1">
      <c r="A29" s="25">
        <f t="shared" si="1"/>
        <v>4</v>
      </c>
      <c r="B29" s="25">
        <f t="shared" si="8"/>
        <v>10</v>
      </c>
      <c r="C29" s="26" t="s">
        <v>84</v>
      </c>
      <c r="D29" s="27" t="s">
        <v>124</v>
      </c>
      <c r="E29" s="28" t="s">
        <v>61</v>
      </c>
      <c r="F29" s="28" t="s">
        <v>70</v>
      </c>
      <c r="G29" s="29" t="s">
        <v>125</v>
      </c>
      <c r="H29" s="30" t="s">
        <v>21</v>
      </c>
      <c r="I29" s="31" t="s">
        <v>115</v>
      </c>
      <c r="J29" s="32" t="s">
        <v>68</v>
      </c>
      <c r="K29" s="30" t="s">
        <v>21</v>
      </c>
      <c r="L29" s="30" t="s">
        <v>21</v>
      </c>
      <c r="M29" s="30"/>
      <c r="N29" s="30" t="s">
        <v>21</v>
      </c>
      <c r="O29" s="30" t="s">
        <v>21</v>
      </c>
      <c r="P29" s="30"/>
      <c r="Q29" s="30" t="s">
        <v>24</v>
      </c>
      <c r="R29" s="30" t="s">
        <v>21</v>
      </c>
      <c r="S29" s="30"/>
      <c r="T29" s="30" t="s">
        <v>21</v>
      </c>
      <c r="U29" s="30"/>
      <c r="V29" s="42" t="s">
        <v>21</v>
      </c>
      <c r="W29" s="33" t="str">
        <f t="shared" si="7"/>
        <v>#REF!</v>
      </c>
      <c r="X29" s="49" t="s">
        <v>129</v>
      </c>
      <c r="Y29" s="46">
        <f>COUNTIF(G3:G98, "CR")</f>
        <v>0</v>
      </c>
      <c r="Z29" s="44"/>
      <c r="AA29" s="49" t="s">
        <v>130</v>
      </c>
      <c r="AB29" s="46">
        <f>COUNTIF(E3:E98,"MC")+COUNTIF(F3:F98,"MC")</f>
        <v>21</v>
      </c>
    </row>
    <row r="30" ht="15.75" customHeight="1">
      <c r="A30" s="25">
        <f t="shared" si="1"/>
        <v>4</v>
      </c>
      <c r="B30" s="25">
        <f t="shared" si="8"/>
        <v>11</v>
      </c>
      <c r="C30" s="26" t="s">
        <v>79</v>
      </c>
      <c r="D30" s="27" t="s">
        <v>128</v>
      </c>
      <c r="E30" s="28" t="s">
        <v>41</v>
      </c>
      <c r="F30" s="28" t="s">
        <v>19</v>
      </c>
      <c r="G30" s="29" t="s">
        <v>71</v>
      </c>
      <c r="H30" s="30" t="s">
        <v>21</v>
      </c>
      <c r="I30" s="31" t="s">
        <v>115</v>
      </c>
      <c r="J30" s="32" t="s">
        <v>68</v>
      </c>
      <c r="K30" s="30" t="s">
        <v>30</v>
      </c>
      <c r="L30" s="30" t="s">
        <v>30</v>
      </c>
      <c r="M30" s="30" t="s">
        <v>30</v>
      </c>
      <c r="N30" s="30" t="s">
        <v>30</v>
      </c>
      <c r="O30" s="30" t="s">
        <v>30</v>
      </c>
      <c r="P30" s="30" t="s">
        <v>30</v>
      </c>
      <c r="Q30" s="30" t="s">
        <v>30</v>
      </c>
      <c r="R30" s="30" t="s">
        <v>24</v>
      </c>
      <c r="S30" s="30"/>
      <c r="T30" s="30" t="s">
        <v>21</v>
      </c>
      <c r="U30" s="30"/>
      <c r="V30" s="30" t="s">
        <v>21</v>
      </c>
      <c r="W30" s="33" t="str">
        <f t="shared" si="7"/>
        <v>#REF!</v>
      </c>
      <c r="X30" s="49" t="s">
        <v>133</v>
      </c>
      <c r="Y30" s="46">
        <f>COUNTIF(G3:G98, "ES")</f>
        <v>1</v>
      </c>
      <c r="Z30" s="44"/>
      <c r="AA30" s="49" t="s">
        <v>134</v>
      </c>
      <c r="AB30" s="46">
        <f>COUNTIF(E3:E98,"MG")+COUNTIF(F3:F98,"MG")</f>
        <v>13</v>
      </c>
    </row>
    <row r="31" ht="15.75" customHeight="1">
      <c r="A31" s="25">
        <f t="shared" si="1"/>
        <v>4</v>
      </c>
      <c r="B31" s="25">
        <f t="shared" si="8"/>
        <v>8</v>
      </c>
      <c r="C31" s="26" t="s">
        <v>54</v>
      </c>
      <c r="D31" s="27" t="s">
        <v>218</v>
      </c>
      <c r="E31" s="28" t="s">
        <v>41</v>
      </c>
      <c r="F31" s="28" t="s">
        <v>56</v>
      </c>
      <c r="G31" s="29" t="s">
        <v>71</v>
      </c>
      <c r="H31" s="30" t="s">
        <v>21</v>
      </c>
      <c r="I31" s="31" t="s">
        <v>115</v>
      </c>
      <c r="J31" s="32" t="s">
        <v>85</v>
      </c>
      <c r="K31" s="30" t="s">
        <v>21</v>
      </c>
      <c r="L31" s="30" t="s">
        <v>24</v>
      </c>
      <c r="M31" s="30"/>
      <c r="N31" s="30" t="s">
        <v>37</v>
      </c>
      <c r="O31" s="30" t="s">
        <v>37</v>
      </c>
      <c r="P31" s="30"/>
      <c r="Q31" s="30" t="s">
        <v>21</v>
      </c>
      <c r="R31" s="30" t="s">
        <v>24</v>
      </c>
      <c r="S31" s="30"/>
      <c r="T31" s="30" t="s">
        <v>24</v>
      </c>
      <c r="U31" s="30"/>
      <c r="V31" s="30" t="s">
        <v>24</v>
      </c>
      <c r="W31" s="33" t="str">
        <f t="shared" si="7"/>
        <v>#REF!</v>
      </c>
      <c r="X31" s="49" t="s">
        <v>136</v>
      </c>
      <c r="Y31" s="46">
        <f>COUNTIF(G3:G98, "Ja")</f>
        <v>1</v>
      </c>
      <c r="Z31" s="44"/>
      <c r="AA31" s="49" t="s">
        <v>137</v>
      </c>
      <c r="AB31" s="46">
        <f>COUNTIF(E3:E98,"OD")+COUNTIF(F3:F98,"OD")</f>
        <v>7</v>
      </c>
    </row>
    <row r="32" ht="15.75" customHeight="1">
      <c r="A32" s="25">
        <f t="shared" si="1"/>
        <v>4</v>
      </c>
      <c r="B32" s="25">
        <f t="shared" si="8"/>
        <v>9</v>
      </c>
      <c r="C32" s="26" t="s">
        <v>64</v>
      </c>
      <c r="D32" s="27" t="s">
        <v>138</v>
      </c>
      <c r="E32" s="28" t="s">
        <v>61</v>
      </c>
      <c r="F32" s="28" t="s">
        <v>70</v>
      </c>
      <c r="G32" s="29" t="s">
        <v>62</v>
      </c>
      <c r="H32" s="30" t="s">
        <v>21</v>
      </c>
      <c r="I32" s="31" t="s">
        <v>115</v>
      </c>
      <c r="J32" s="32" t="s">
        <v>85</v>
      </c>
      <c r="K32" s="30" t="s">
        <v>21</v>
      </c>
      <c r="L32" s="30" t="s">
        <v>24</v>
      </c>
      <c r="M32" s="30"/>
      <c r="N32" s="30" t="s">
        <v>24</v>
      </c>
      <c r="O32" s="30" t="s">
        <v>21</v>
      </c>
      <c r="P32" s="30" t="s">
        <v>58</v>
      </c>
      <c r="Q32" s="30" t="s">
        <v>24</v>
      </c>
      <c r="R32" s="30" t="s">
        <v>24</v>
      </c>
      <c r="S32" s="30"/>
      <c r="T32" s="30" t="s">
        <v>21</v>
      </c>
      <c r="U32" s="30"/>
      <c r="V32" s="30" t="s">
        <v>21</v>
      </c>
      <c r="W32" s="33" t="str">
        <f t="shared" si="7"/>
        <v>#REF!</v>
      </c>
      <c r="X32" s="49" t="s">
        <v>139</v>
      </c>
      <c r="Y32" s="46">
        <f>COUNTIF(G3:G98, "Me")</f>
        <v>9</v>
      </c>
      <c r="Z32" s="44"/>
      <c r="AA32" s="49" t="s">
        <v>140</v>
      </c>
      <c r="AB32" s="46">
        <f>COUNTIF(E3:E98,"RO")+COUNTIF(F3:F98,"RO")</f>
        <v>8</v>
      </c>
    </row>
    <row r="33" ht="15.75" customHeight="1">
      <c r="A33" s="25">
        <f t="shared" si="1"/>
        <v>4</v>
      </c>
      <c r="B33" s="25">
        <f t="shared" si="8"/>
        <v>10</v>
      </c>
      <c r="C33" s="26" t="s">
        <v>84</v>
      </c>
      <c r="D33" s="27" t="s">
        <v>220</v>
      </c>
      <c r="E33" s="28" t="s">
        <v>19</v>
      </c>
      <c r="F33" s="28" t="s">
        <v>41</v>
      </c>
      <c r="G33" s="29" t="s">
        <v>49</v>
      </c>
      <c r="H33" s="30" t="s">
        <v>21</v>
      </c>
      <c r="I33" s="31" t="s">
        <v>115</v>
      </c>
      <c r="J33" s="32" t="s">
        <v>85</v>
      </c>
      <c r="K33" s="30" t="s">
        <v>21</v>
      </c>
      <c r="L33" s="30" t="s">
        <v>21</v>
      </c>
      <c r="M33" s="30"/>
      <c r="N33" s="30" t="s">
        <v>24</v>
      </c>
      <c r="O33" s="30" t="s">
        <v>21</v>
      </c>
      <c r="P33" s="30"/>
      <c r="Q33" s="30" t="s">
        <v>24</v>
      </c>
      <c r="R33" s="30" t="s">
        <v>21</v>
      </c>
      <c r="S33" s="30"/>
      <c r="T33" s="30" t="s">
        <v>24</v>
      </c>
      <c r="U33" s="30"/>
      <c r="V33" s="30" t="s">
        <v>24</v>
      </c>
      <c r="W33" s="33" t="str">
        <f t="shared" si="7"/>
        <v>#REF!</v>
      </c>
      <c r="X33" s="49" t="s">
        <v>142</v>
      </c>
      <c r="Y33" s="46">
        <f>COUNTIF(G3:G98, "Pa")</f>
        <v>2</v>
      </c>
      <c r="Z33" s="44"/>
      <c r="AA33" s="49" t="s">
        <v>143</v>
      </c>
      <c r="AB33" s="46">
        <f>COUNTIF(E3:E98,"TE")+COUNTIF(F3:F98,"TE")</f>
        <v>7</v>
      </c>
    </row>
    <row r="34" ht="15.75" customHeight="1">
      <c r="A34" s="25">
        <f t="shared" si="1"/>
        <v>4</v>
      </c>
      <c r="B34" s="25">
        <f t="shared" si="8"/>
        <v>10</v>
      </c>
      <c r="C34" s="26" t="s">
        <v>84</v>
      </c>
      <c r="D34" s="27" t="s">
        <v>144</v>
      </c>
      <c r="E34" s="28" t="s">
        <v>19</v>
      </c>
      <c r="F34" s="28" t="s">
        <v>70</v>
      </c>
      <c r="G34" s="29" t="s">
        <v>145</v>
      </c>
      <c r="H34" s="42" t="s">
        <v>21</v>
      </c>
      <c r="I34" s="31" t="s">
        <v>115</v>
      </c>
      <c r="J34" s="32" t="s">
        <v>85</v>
      </c>
      <c r="K34" s="42" t="s">
        <v>24</v>
      </c>
      <c r="L34" s="42" t="s">
        <v>21</v>
      </c>
      <c r="M34" s="42" t="s">
        <v>58</v>
      </c>
      <c r="N34" s="42" t="s">
        <v>21</v>
      </c>
      <c r="O34" s="42" t="s">
        <v>21</v>
      </c>
      <c r="P34" s="42" t="s">
        <v>58</v>
      </c>
      <c r="Q34" s="42" t="s">
        <v>33</v>
      </c>
      <c r="R34" s="42" t="s">
        <v>21</v>
      </c>
      <c r="S34" s="42"/>
      <c r="T34" s="42" t="s">
        <v>21</v>
      </c>
      <c r="U34" s="42"/>
      <c r="V34" s="30" t="s">
        <v>24</v>
      </c>
      <c r="W34" s="33" t="str">
        <f t="shared" si="7"/>
        <v>#REF!</v>
      </c>
      <c r="X34" s="49" t="s">
        <v>146</v>
      </c>
      <c r="Y34" s="46">
        <f>COUNTIF(G3:G98, "Py")</f>
        <v>0</v>
      </c>
      <c r="Z34" s="44"/>
      <c r="AA34" s="49" t="s">
        <v>147</v>
      </c>
      <c r="AB34" s="46">
        <f>COUNTIF(E3:E98,"TS")+COUNTIF(F3:F98,"TS")</f>
        <v>2</v>
      </c>
    </row>
    <row r="35" ht="15.75" customHeight="1">
      <c r="A35" s="25">
        <f t="shared" si="1"/>
        <v>4</v>
      </c>
      <c r="B35" s="25">
        <f t="shared" si="8"/>
        <v>11</v>
      </c>
      <c r="C35" s="26" t="s">
        <v>79</v>
      </c>
      <c r="D35" s="27" t="s">
        <v>221</v>
      </c>
      <c r="E35" s="28" t="s">
        <v>19</v>
      </c>
      <c r="F35" s="28"/>
      <c r="G35" s="29" t="s">
        <v>62</v>
      </c>
      <c r="H35" s="30" t="s">
        <v>30</v>
      </c>
      <c r="I35" s="31" t="s">
        <v>115</v>
      </c>
      <c r="J35" s="32" t="s">
        <v>85</v>
      </c>
      <c r="K35" s="30" t="s">
        <v>30</v>
      </c>
      <c r="L35" s="30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30" t="s">
        <v>30</v>
      </c>
      <c r="R35" s="30" t="s">
        <v>30</v>
      </c>
      <c r="S35" s="30" t="s">
        <v>30</v>
      </c>
      <c r="T35" s="30" t="s">
        <v>30</v>
      </c>
      <c r="U35" s="30" t="s">
        <v>30</v>
      </c>
      <c r="V35" s="30" t="s">
        <v>30</v>
      </c>
      <c r="W35" s="33" t="str">
        <f t="shared" si="7"/>
        <v>#REF!</v>
      </c>
      <c r="X35" s="49" t="s">
        <v>150</v>
      </c>
      <c r="Y35" s="46">
        <f>COUNTIF(G3:G98, "Pe")</f>
        <v>3</v>
      </c>
      <c r="Z35" s="44"/>
      <c r="AA35" s="49"/>
      <c r="AB35" s="46"/>
    </row>
    <row r="36" ht="15.75" customHeight="1">
      <c r="A36" s="25">
        <f t="shared" si="1"/>
        <v>4</v>
      </c>
      <c r="B36" s="25">
        <f t="shared" si="8"/>
        <v>9</v>
      </c>
      <c r="C36" s="26" t="s">
        <v>64</v>
      </c>
      <c r="D36" s="27" t="s">
        <v>226</v>
      </c>
      <c r="E36" s="28" t="s">
        <v>56</v>
      </c>
      <c r="F36" s="28" t="s">
        <v>19</v>
      </c>
      <c r="G36" s="29" t="s">
        <v>227</v>
      </c>
      <c r="H36" s="30" t="s">
        <v>30</v>
      </c>
      <c r="I36" s="31" t="s">
        <v>115</v>
      </c>
      <c r="J36" s="32"/>
      <c r="K36" s="30" t="s">
        <v>30</v>
      </c>
      <c r="L36" s="30" t="s">
        <v>30</v>
      </c>
      <c r="M36" s="30" t="s">
        <v>30</v>
      </c>
      <c r="N36" s="30" t="s">
        <v>30</v>
      </c>
      <c r="O36" s="30" t="s">
        <v>30</v>
      </c>
      <c r="P36" s="30" t="s">
        <v>30</v>
      </c>
      <c r="Q36" s="30" t="s">
        <v>30</v>
      </c>
      <c r="R36" s="30" t="s">
        <v>30</v>
      </c>
      <c r="S36" s="30" t="s">
        <v>30</v>
      </c>
      <c r="T36" s="30" t="s">
        <v>30</v>
      </c>
      <c r="U36" s="30" t="s">
        <v>30</v>
      </c>
      <c r="V36" s="30" t="s">
        <v>30</v>
      </c>
      <c r="W36" s="33" t="str">
        <f t="shared" si="7"/>
        <v>#REF!</v>
      </c>
      <c r="X36" s="49" t="s">
        <v>152</v>
      </c>
      <c r="Y36" s="46">
        <f>COUNTIF(G3:G98, "US")</f>
        <v>1</v>
      </c>
      <c r="Z36" s="44"/>
      <c r="AA36" s="49"/>
      <c r="AB36" s="46"/>
    </row>
    <row r="37" ht="15.75" customHeight="1">
      <c r="A37" s="25">
        <f t="shared" si="1"/>
        <v>4</v>
      </c>
      <c r="B37" s="25">
        <f t="shared" si="8"/>
        <v>10</v>
      </c>
      <c r="C37" s="26" t="s">
        <v>84</v>
      </c>
      <c r="D37" s="27" t="s">
        <v>228</v>
      </c>
      <c r="E37" s="28" t="s">
        <v>61</v>
      </c>
      <c r="F37" s="28" t="s">
        <v>19</v>
      </c>
      <c r="G37" s="29" t="s">
        <v>71</v>
      </c>
      <c r="H37" s="30" t="s">
        <v>30</v>
      </c>
      <c r="I37" s="31" t="s">
        <v>115</v>
      </c>
      <c r="J37" s="32"/>
      <c r="K37" s="30" t="s">
        <v>30</v>
      </c>
      <c r="L37" s="30" t="s">
        <v>30</v>
      </c>
      <c r="M37" s="30" t="s">
        <v>30</v>
      </c>
      <c r="N37" s="30" t="s">
        <v>30</v>
      </c>
      <c r="O37" s="30" t="s">
        <v>30</v>
      </c>
      <c r="P37" s="30" t="s">
        <v>30</v>
      </c>
      <c r="Q37" s="30" t="s">
        <v>30</v>
      </c>
      <c r="R37" s="30" t="s">
        <v>30</v>
      </c>
      <c r="S37" s="30" t="s">
        <v>30</v>
      </c>
      <c r="T37" s="30" t="s">
        <v>30</v>
      </c>
      <c r="U37" s="30" t="s">
        <v>30</v>
      </c>
      <c r="V37" s="30" t="s">
        <v>30</v>
      </c>
      <c r="W37" s="33" t="str">
        <f t="shared" si="7"/>
        <v>#REF!</v>
      </c>
      <c r="X37" s="49" t="s">
        <v>154</v>
      </c>
      <c r="Y37" s="46">
        <f>COUNTIF(G3:G98, "Ve")</f>
        <v>18</v>
      </c>
      <c r="Z37" s="44"/>
      <c r="AA37" s="49"/>
      <c r="AB37" s="46"/>
    </row>
    <row r="38" ht="15.75" customHeight="1">
      <c r="A38" s="25">
        <f t="shared" si="1"/>
        <v>9</v>
      </c>
      <c r="B38" s="25">
        <f t="shared" si="8"/>
        <v>6</v>
      </c>
      <c r="C38" s="26" t="s">
        <v>113</v>
      </c>
      <c r="D38" s="27" t="s">
        <v>157</v>
      </c>
      <c r="E38" s="28" t="s">
        <v>48</v>
      </c>
      <c r="F38" s="28" t="s">
        <v>41</v>
      </c>
      <c r="G38" s="29" t="s">
        <v>20</v>
      </c>
      <c r="H38" s="30" t="s">
        <v>21</v>
      </c>
      <c r="I38" s="31" t="s">
        <v>158</v>
      </c>
      <c r="J38" s="32" t="s">
        <v>51</v>
      </c>
      <c r="K38" s="30" t="s">
        <v>21</v>
      </c>
      <c r="L38" s="30" t="s">
        <v>21</v>
      </c>
      <c r="M38" s="30"/>
      <c r="N38" s="30" t="s">
        <v>24</v>
      </c>
      <c r="O38" s="30" t="s">
        <v>21</v>
      </c>
      <c r="P38" s="30"/>
      <c r="Q38" s="30" t="s">
        <v>21</v>
      </c>
      <c r="R38" s="30" t="s">
        <v>21</v>
      </c>
      <c r="S38" s="30"/>
      <c r="T38" s="30" t="s">
        <v>21</v>
      </c>
      <c r="U38" s="30"/>
      <c r="V38" s="30" t="s">
        <v>21</v>
      </c>
      <c r="W38" s="33" t="str">
        <f t="shared" si="7"/>
        <v>#REF!</v>
      </c>
      <c r="X38" s="49" t="s">
        <v>156</v>
      </c>
      <c r="Y38" s="46">
        <f>COUNTIF(G3:G98, "PR")</f>
        <v>0</v>
      </c>
      <c r="Z38" s="44"/>
      <c r="AA38" s="44"/>
      <c r="AB38" s="44"/>
    </row>
    <row r="39" ht="15.75" customHeight="1">
      <c r="A39" s="25">
        <f t="shared" si="1"/>
        <v>9</v>
      </c>
      <c r="B39" s="25">
        <f t="shared" si="8"/>
        <v>7</v>
      </c>
      <c r="C39" s="26" t="s">
        <v>46</v>
      </c>
      <c r="D39" s="27" t="s">
        <v>160</v>
      </c>
      <c r="E39" s="28" t="s">
        <v>61</v>
      </c>
      <c r="F39" s="28" t="s">
        <v>48</v>
      </c>
      <c r="G39" s="29" t="s">
        <v>149</v>
      </c>
      <c r="H39" s="30" t="s">
        <v>21</v>
      </c>
      <c r="I39" s="31" t="s">
        <v>158</v>
      </c>
      <c r="J39" s="32" t="s">
        <v>57</v>
      </c>
      <c r="K39" s="30" t="s">
        <v>21</v>
      </c>
      <c r="L39" s="30" t="s">
        <v>21</v>
      </c>
      <c r="M39" s="30"/>
      <c r="N39" s="30" t="s">
        <v>24</v>
      </c>
      <c r="O39" s="30" t="s">
        <v>24</v>
      </c>
      <c r="P39" s="30"/>
      <c r="Q39" s="30" t="s">
        <v>21</v>
      </c>
      <c r="R39" s="30" t="s">
        <v>24</v>
      </c>
      <c r="S39" s="30"/>
      <c r="T39" s="30" t="s">
        <v>21</v>
      </c>
      <c r="U39" s="30"/>
      <c r="V39" s="30" t="s">
        <v>24</v>
      </c>
      <c r="W39" s="33" t="str">
        <f t="shared" si="7"/>
        <v>#REF!</v>
      </c>
      <c r="X39" s="49" t="s">
        <v>159</v>
      </c>
      <c r="Y39" s="46">
        <f>COUNTIF(G3:G98, "Bo")</f>
        <v>1</v>
      </c>
      <c r="Z39" s="44"/>
      <c r="AA39" s="44"/>
      <c r="AB39" s="44"/>
    </row>
    <row r="40" ht="15.75" customHeight="1">
      <c r="A40" s="25">
        <f t="shared" si="1"/>
        <v>9</v>
      </c>
      <c r="B40" s="25">
        <f t="shared" si="8"/>
        <v>7</v>
      </c>
      <c r="C40" s="26" t="s">
        <v>46</v>
      </c>
      <c r="D40" s="27" t="s">
        <v>162</v>
      </c>
      <c r="E40" s="28" t="s">
        <v>41</v>
      </c>
      <c r="F40" s="28" t="s">
        <v>28</v>
      </c>
      <c r="G40" s="29" t="s">
        <v>163</v>
      </c>
      <c r="H40" s="30" t="s">
        <v>21</v>
      </c>
      <c r="I40" s="31" t="s">
        <v>158</v>
      </c>
      <c r="J40" s="32" t="s">
        <v>63</v>
      </c>
      <c r="K40" s="30" t="s">
        <v>21</v>
      </c>
      <c r="L40" s="30" t="s">
        <v>21</v>
      </c>
      <c r="M40" s="30"/>
      <c r="N40" s="30" t="s">
        <v>24</v>
      </c>
      <c r="O40" s="30" t="s">
        <v>21</v>
      </c>
      <c r="P40" s="30"/>
      <c r="Q40" s="30" t="s">
        <v>37</v>
      </c>
      <c r="R40" s="30" t="s">
        <v>37</v>
      </c>
      <c r="S40" s="30" t="s">
        <v>37</v>
      </c>
      <c r="T40" s="30" t="s">
        <v>37</v>
      </c>
      <c r="U40" s="30" t="s">
        <v>37</v>
      </c>
      <c r="V40" s="30" t="s">
        <v>37</v>
      </c>
      <c r="W40" s="33" t="str">
        <f t="shared" si="7"/>
        <v>#REF!</v>
      </c>
    </row>
    <row r="41" ht="15.75" customHeight="1">
      <c r="A41" s="25">
        <f t="shared" si="1"/>
        <v>9</v>
      </c>
      <c r="B41" s="25">
        <f t="shared" si="8"/>
        <v>9</v>
      </c>
      <c r="C41" s="26" t="s">
        <v>64</v>
      </c>
      <c r="D41" s="27" t="s">
        <v>208</v>
      </c>
      <c r="E41" s="28" t="s">
        <v>41</v>
      </c>
      <c r="F41" s="28" t="s">
        <v>56</v>
      </c>
      <c r="G41" s="29" t="s">
        <v>71</v>
      </c>
      <c r="H41" s="30" t="s">
        <v>21</v>
      </c>
      <c r="I41" s="31" t="s">
        <v>158</v>
      </c>
      <c r="J41" s="32" t="s">
        <v>68</v>
      </c>
      <c r="K41" s="30" t="s">
        <v>21</v>
      </c>
      <c r="L41" s="30" t="s">
        <v>21</v>
      </c>
      <c r="M41" s="30"/>
      <c r="N41" s="30" t="s">
        <v>21</v>
      </c>
      <c r="O41" s="30" t="s">
        <v>21</v>
      </c>
      <c r="P41" s="30"/>
      <c r="Q41" s="30" t="s">
        <v>21</v>
      </c>
      <c r="R41" s="30" t="s">
        <v>21</v>
      </c>
      <c r="S41" s="30" t="s">
        <v>37</v>
      </c>
      <c r="T41" s="30" t="s">
        <v>37</v>
      </c>
      <c r="U41" s="30" t="s">
        <v>37</v>
      </c>
      <c r="V41" s="30" t="s">
        <v>37</v>
      </c>
      <c r="W41" s="33" t="str">
        <f t="shared" si="7"/>
        <v>#REF!</v>
      </c>
    </row>
    <row r="42" ht="15.75" customHeight="1">
      <c r="A42" s="25">
        <f t="shared" si="1"/>
        <v>9</v>
      </c>
      <c r="B42" s="25">
        <f t="shared" si="8"/>
        <v>10</v>
      </c>
      <c r="C42" s="26" t="s">
        <v>84</v>
      </c>
      <c r="D42" s="27" t="s">
        <v>164</v>
      </c>
      <c r="E42" s="28" t="s">
        <v>41</v>
      </c>
      <c r="F42" s="28" t="s">
        <v>28</v>
      </c>
      <c r="G42" s="29" t="s">
        <v>20</v>
      </c>
      <c r="H42" s="30" t="s">
        <v>21</v>
      </c>
      <c r="I42" s="31" t="s">
        <v>158</v>
      </c>
      <c r="J42" s="32" t="s">
        <v>68</v>
      </c>
      <c r="K42" s="30" t="s">
        <v>21</v>
      </c>
      <c r="L42" s="30" t="s">
        <v>24</v>
      </c>
      <c r="M42" s="30" t="s">
        <v>58</v>
      </c>
      <c r="N42" s="30" t="s">
        <v>21</v>
      </c>
      <c r="O42" s="30" t="s">
        <v>21</v>
      </c>
      <c r="P42" s="30" t="s">
        <v>58</v>
      </c>
      <c r="Q42" s="30" t="s">
        <v>21</v>
      </c>
      <c r="R42" s="30" t="s">
        <v>21</v>
      </c>
      <c r="S42" s="30"/>
      <c r="T42" s="30" t="s">
        <v>21</v>
      </c>
      <c r="U42" s="30"/>
      <c r="V42" s="30" t="s">
        <v>21</v>
      </c>
      <c r="W42" s="33" t="str">
        <f t="shared" si="7"/>
        <v>#REF!</v>
      </c>
      <c r="X42" s="55" t="s">
        <v>167</v>
      </c>
      <c r="Y42" s="5"/>
      <c r="Z42" s="47"/>
      <c r="AA42" s="55" t="s">
        <v>168</v>
      </c>
      <c r="AB42" s="57"/>
    </row>
    <row r="43" ht="15.75" customHeight="1">
      <c r="A43" s="25">
        <f t="shared" si="1"/>
        <v>9</v>
      </c>
      <c r="B43" s="25">
        <f t="shared" si="8"/>
        <v>9</v>
      </c>
      <c r="C43" s="26" t="s">
        <v>64</v>
      </c>
      <c r="D43" s="27" t="s">
        <v>165</v>
      </c>
      <c r="E43" s="28" t="s">
        <v>61</v>
      </c>
      <c r="F43" s="28" t="s">
        <v>41</v>
      </c>
      <c r="G43" s="29" t="s">
        <v>71</v>
      </c>
      <c r="H43" s="30" t="s">
        <v>21</v>
      </c>
      <c r="I43" s="31" t="s">
        <v>158</v>
      </c>
      <c r="J43" s="32" t="s">
        <v>85</v>
      </c>
      <c r="K43" s="30" t="s">
        <v>21</v>
      </c>
      <c r="L43" s="30" t="s">
        <v>21</v>
      </c>
      <c r="M43" s="30"/>
      <c r="N43" s="30" t="s">
        <v>21</v>
      </c>
      <c r="O43" s="30" t="s">
        <v>21</v>
      </c>
      <c r="P43" s="30"/>
      <c r="Q43" s="30" t="s">
        <v>21</v>
      </c>
      <c r="R43" s="30" t="s">
        <v>21</v>
      </c>
      <c r="S43" s="30"/>
      <c r="T43" s="30" t="s">
        <v>24</v>
      </c>
      <c r="U43" s="30"/>
      <c r="V43" s="30" t="s">
        <v>21</v>
      </c>
      <c r="W43" s="33" t="str">
        <f t="shared" si="7"/>
        <v>#REF!</v>
      </c>
      <c r="X43" s="56" t="s">
        <v>9</v>
      </c>
      <c r="Y43" s="57"/>
      <c r="Z43" s="58" t="s">
        <v>170</v>
      </c>
      <c r="AA43" s="58" t="s">
        <v>171</v>
      </c>
      <c r="AB43" s="58" t="s">
        <v>176</v>
      </c>
    </row>
    <row r="44" ht="15.75" customHeight="1">
      <c r="A44" s="25">
        <f t="shared" si="1"/>
        <v>9</v>
      </c>
      <c r="B44" s="25">
        <f t="shared" si="8"/>
        <v>11</v>
      </c>
      <c r="C44" s="26" t="s">
        <v>79</v>
      </c>
      <c r="D44" s="27" t="s">
        <v>166</v>
      </c>
      <c r="E44" s="28" t="s">
        <v>19</v>
      </c>
      <c r="F44" s="28"/>
      <c r="G44" s="29" t="s">
        <v>71</v>
      </c>
      <c r="H44" s="42" t="s">
        <v>21</v>
      </c>
      <c r="I44" s="31" t="s">
        <v>158</v>
      </c>
      <c r="J44" s="32" t="s">
        <v>85</v>
      </c>
      <c r="K44" s="42" t="s">
        <v>65</v>
      </c>
      <c r="L44" s="42" t="s">
        <v>65</v>
      </c>
      <c r="M44" s="42" t="s">
        <v>65</v>
      </c>
      <c r="N44" s="42" t="s">
        <v>65</v>
      </c>
      <c r="O44" s="42" t="s">
        <v>65</v>
      </c>
      <c r="P44" s="42" t="s">
        <v>65</v>
      </c>
      <c r="Q44" s="42" t="s">
        <v>65</v>
      </c>
      <c r="R44" s="42" t="s">
        <v>65</v>
      </c>
      <c r="S44" s="42" t="s">
        <v>65</v>
      </c>
      <c r="T44" s="42" t="s">
        <v>24</v>
      </c>
      <c r="U44" s="42"/>
      <c r="V44" s="42" t="s">
        <v>24</v>
      </c>
      <c r="W44" s="33" t="str">
        <f t="shared" si="7"/>
        <v>#REF!</v>
      </c>
      <c r="X44" s="59" t="s">
        <v>249</v>
      </c>
      <c r="Y44" s="57"/>
      <c r="Z44" s="60">
        <v>43313.0</v>
      </c>
      <c r="AA44" s="61" t="s">
        <v>179</v>
      </c>
      <c r="AB44" s="61" t="s">
        <v>179</v>
      </c>
    </row>
    <row r="45" ht="15.75" customHeight="1">
      <c r="A45" s="25">
        <f t="shared" si="1"/>
        <v>9</v>
      </c>
      <c r="B45" s="25">
        <f t="shared" si="8"/>
        <v>6</v>
      </c>
      <c r="C45" s="26" t="s">
        <v>113</v>
      </c>
      <c r="D45" s="27" t="s">
        <v>169</v>
      </c>
      <c r="E45" s="28" t="s">
        <v>41</v>
      </c>
      <c r="F45" s="28" t="s">
        <v>19</v>
      </c>
      <c r="G45" s="29" t="s">
        <v>20</v>
      </c>
      <c r="H45" s="30" t="s">
        <v>30</v>
      </c>
      <c r="I45" s="31" t="s">
        <v>158</v>
      </c>
      <c r="J45" s="32"/>
      <c r="K45" s="30" t="s">
        <v>30</v>
      </c>
      <c r="L45" s="30" t="s">
        <v>30</v>
      </c>
      <c r="M45" s="30" t="s">
        <v>30</v>
      </c>
      <c r="N45" s="30" t="s">
        <v>30</v>
      </c>
      <c r="O45" s="30" t="s">
        <v>30</v>
      </c>
      <c r="P45" s="30" t="s">
        <v>30</v>
      </c>
      <c r="Q45" s="30" t="s">
        <v>30</v>
      </c>
      <c r="R45" s="30" t="s">
        <v>30</v>
      </c>
      <c r="S45" s="30" t="s">
        <v>30</v>
      </c>
      <c r="T45" s="30" t="s">
        <v>30</v>
      </c>
      <c r="U45" s="30" t="s">
        <v>30</v>
      </c>
      <c r="V45" s="30" t="s">
        <v>30</v>
      </c>
      <c r="W45" s="33" t="str">
        <f t="shared" si="7"/>
        <v>#REF!</v>
      </c>
      <c r="X45" s="59" t="s">
        <v>250</v>
      </c>
      <c r="Y45" s="57"/>
      <c r="Z45" s="60">
        <v>43327.0</v>
      </c>
      <c r="AA45" s="61" t="s">
        <v>179</v>
      </c>
      <c r="AB45" s="61"/>
    </row>
    <row r="46" ht="15.75" customHeight="1">
      <c r="A46" s="25">
        <f t="shared" si="1"/>
        <v>9</v>
      </c>
      <c r="B46" s="25">
        <f t="shared" si="8"/>
        <v>7</v>
      </c>
      <c r="C46" s="26" t="s">
        <v>46</v>
      </c>
      <c r="D46" s="27" t="s">
        <v>173</v>
      </c>
      <c r="E46" s="28" t="s">
        <v>76</v>
      </c>
      <c r="F46" s="28" t="s">
        <v>56</v>
      </c>
      <c r="G46" s="29" t="s">
        <v>20</v>
      </c>
      <c r="H46" s="30" t="s">
        <v>30</v>
      </c>
      <c r="I46" s="31" t="s">
        <v>158</v>
      </c>
      <c r="J46" s="32"/>
      <c r="K46" s="30" t="s">
        <v>30</v>
      </c>
      <c r="L46" s="30" t="s">
        <v>30</v>
      </c>
      <c r="M46" s="30" t="s">
        <v>30</v>
      </c>
      <c r="N46" s="30" t="s">
        <v>30</v>
      </c>
      <c r="O46" s="30" t="s">
        <v>30</v>
      </c>
      <c r="P46" s="30" t="s">
        <v>30</v>
      </c>
      <c r="Q46" s="30" t="s">
        <v>30</v>
      </c>
      <c r="R46" s="30" t="s">
        <v>30</v>
      </c>
      <c r="S46" s="30" t="s">
        <v>30</v>
      </c>
      <c r="T46" s="30" t="s">
        <v>30</v>
      </c>
      <c r="U46" s="30" t="s">
        <v>30</v>
      </c>
      <c r="V46" s="30" t="s">
        <v>30</v>
      </c>
      <c r="W46" s="33" t="str">
        <f t="shared" si="7"/>
        <v>#REF!</v>
      </c>
      <c r="X46" s="59"/>
      <c r="Y46" s="57"/>
      <c r="Z46" s="60"/>
      <c r="AA46" s="61"/>
      <c r="AB46" s="61"/>
    </row>
    <row r="47" ht="15.75" customHeight="1">
      <c r="A47" s="25">
        <f t="shared" si="1"/>
        <v>9</v>
      </c>
      <c r="B47" s="25">
        <f t="shared" si="8"/>
        <v>7</v>
      </c>
      <c r="C47" s="26" t="s">
        <v>46</v>
      </c>
      <c r="D47" s="27" t="s">
        <v>174</v>
      </c>
      <c r="E47" s="28" t="s">
        <v>29</v>
      </c>
      <c r="F47" s="28" t="s">
        <v>28</v>
      </c>
      <c r="G47" s="29" t="s">
        <v>71</v>
      </c>
      <c r="H47" s="42" t="s">
        <v>21</v>
      </c>
      <c r="I47" s="31" t="s">
        <v>158</v>
      </c>
      <c r="J47" s="32"/>
      <c r="K47" s="42" t="s">
        <v>65</v>
      </c>
      <c r="L47" s="42" t="s">
        <v>65</v>
      </c>
      <c r="M47" s="42" t="s">
        <v>65</v>
      </c>
      <c r="N47" s="42" t="s">
        <v>65</v>
      </c>
      <c r="O47" s="42" t="s">
        <v>65</v>
      </c>
      <c r="P47" s="42" t="s">
        <v>65</v>
      </c>
      <c r="Q47" s="42" t="s">
        <v>65</v>
      </c>
      <c r="R47" s="42" t="s">
        <v>65</v>
      </c>
      <c r="S47" s="42" t="s">
        <v>65</v>
      </c>
      <c r="T47" s="42" t="s">
        <v>24</v>
      </c>
      <c r="U47" s="42"/>
      <c r="V47" s="42" t="s">
        <v>24</v>
      </c>
      <c r="W47" s="33" t="str">
        <f t="shared" si="7"/>
        <v>#REF!</v>
      </c>
      <c r="X47" s="59" t="s">
        <v>176</v>
      </c>
      <c r="Y47" s="57"/>
      <c r="Z47" s="60">
        <v>43313.0</v>
      </c>
      <c r="AA47" s="61"/>
      <c r="AB47" s="61"/>
    </row>
    <row r="48" ht="15.75" customHeight="1">
      <c r="A48" s="25">
        <f t="shared" si="1"/>
        <v>9</v>
      </c>
      <c r="B48" s="25">
        <f t="shared" si="8"/>
        <v>9</v>
      </c>
      <c r="C48" s="26" t="s">
        <v>64</v>
      </c>
      <c r="D48" s="27" t="s">
        <v>175</v>
      </c>
      <c r="E48" s="28" t="s">
        <v>70</v>
      </c>
      <c r="F48" s="28" t="s">
        <v>41</v>
      </c>
      <c r="G48" s="29" t="s">
        <v>49</v>
      </c>
      <c r="H48" s="30" t="s">
        <v>30</v>
      </c>
      <c r="I48" s="31" t="s">
        <v>158</v>
      </c>
      <c r="J48" s="32"/>
      <c r="K48" s="30" t="s">
        <v>30</v>
      </c>
      <c r="L48" s="30" t="s">
        <v>30</v>
      </c>
      <c r="M48" s="30" t="s">
        <v>30</v>
      </c>
      <c r="N48" s="30" t="s">
        <v>30</v>
      </c>
      <c r="O48" s="30" t="s">
        <v>30</v>
      </c>
      <c r="P48" s="30" t="s">
        <v>30</v>
      </c>
      <c r="Q48" s="30" t="s">
        <v>30</v>
      </c>
      <c r="R48" s="30" t="s">
        <v>30</v>
      </c>
      <c r="S48" s="30" t="s">
        <v>30</v>
      </c>
      <c r="T48" s="30" t="s">
        <v>30</v>
      </c>
      <c r="U48" s="30" t="s">
        <v>30</v>
      </c>
      <c r="V48" s="30" t="s">
        <v>30</v>
      </c>
      <c r="W48" s="33" t="str">
        <f t="shared" si="7"/>
        <v>#REF!</v>
      </c>
      <c r="X48" s="59" t="s">
        <v>251</v>
      </c>
      <c r="Y48" s="57"/>
      <c r="Z48" s="60">
        <v>43319.0</v>
      </c>
      <c r="AA48" s="61" t="s">
        <v>179</v>
      </c>
      <c r="AB48" s="61"/>
    </row>
    <row r="49" ht="15.75" customHeight="1">
      <c r="A49" s="25">
        <f t="shared" si="1"/>
        <v>11</v>
      </c>
      <c r="B49" s="25">
        <f t="shared" si="8"/>
        <v>6</v>
      </c>
      <c r="C49" s="26" t="s">
        <v>113</v>
      </c>
      <c r="D49" s="27" t="s">
        <v>180</v>
      </c>
      <c r="E49" s="28" t="s">
        <v>48</v>
      </c>
      <c r="F49" s="28" t="s">
        <v>28</v>
      </c>
      <c r="G49" s="29" t="s">
        <v>20</v>
      </c>
      <c r="H49" s="30" t="s">
        <v>21</v>
      </c>
      <c r="I49" s="31" t="s">
        <v>89</v>
      </c>
      <c r="J49" s="32" t="s">
        <v>68</v>
      </c>
      <c r="K49" s="30" t="s">
        <v>21</v>
      </c>
      <c r="L49" s="30" t="s">
        <v>21</v>
      </c>
      <c r="M49" s="30"/>
      <c r="N49" s="30" t="s">
        <v>24</v>
      </c>
      <c r="O49" s="30" t="s">
        <v>21</v>
      </c>
      <c r="P49" s="30"/>
      <c r="Q49" s="30" t="s">
        <v>21</v>
      </c>
      <c r="R49" s="30" t="s">
        <v>21</v>
      </c>
      <c r="S49" s="30"/>
      <c r="T49" s="30" t="s">
        <v>21</v>
      </c>
      <c r="U49" s="30"/>
      <c r="V49" s="30" t="s">
        <v>21</v>
      </c>
      <c r="W49" s="33" t="str">
        <f t="shared" si="7"/>
        <v>#REF!</v>
      </c>
      <c r="X49" s="59"/>
      <c r="Y49" s="57"/>
      <c r="Z49" s="60"/>
      <c r="AA49" s="61"/>
      <c r="AB49" s="61"/>
    </row>
    <row r="50" ht="15.75" customHeight="1">
      <c r="A50" s="25">
        <f t="shared" si="1"/>
        <v>11</v>
      </c>
      <c r="B50" s="25">
        <f t="shared" si="8"/>
        <v>6</v>
      </c>
      <c r="C50" s="26" t="s">
        <v>113</v>
      </c>
      <c r="D50" s="27" t="s">
        <v>185</v>
      </c>
      <c r="E50" s="28" t="s">
        <v>70</v>
      </c>
      <c r="F50" s="28" t="s">
        <v>19</v>
      </c>
      <c r="G50" s="29" t="s">
        <v>71</v>
      </c>
      <c r="H50" s="30" t="s">
        <v>37</v>
      </c>
      <c r="I50" s="31" t="s">
        <v>89</v>
      </c>
      <c r="J50" s="32"/>
      <c r="K50" s="30" t="s">
        <v>21</v>
      </c>
      <c r="L50" s="30" t="s">
        <v>21</v>
      </c>
      <c r="M50" s="30" t="s">
        <v>37</v>
      </c>
      <c r="N50" s="30" t="s">
        <v>37</v>
      </c>
      <c r="O50" s="30" t="s">
        <v>37</v>
      </c>
      <c r="P50" s="30" t="s">
        <v>37</v>
      </c>
      <c r="Q50" s="30" t="s">
        <v>37</v>
      </c>
      <c r="R50" s="30" t="s">
        <v>37</v>
      </c>
      <c r="S50" s="30" t="s">
        <v>37</v>
      </c>
      <c r="T50" s="30" t="s">
        <v>37</v>
      </c>
      <c r="U50" s="30" t="s">
        <v>37</v>
      </c>
      <c r="V50" s="30" t="s">
        <v>37</v>
      </c>
      <c r="W50" s="33" t="str">
        <f t="shared" si="7"/>
        <v>#REF!</v>
      </c>
      <c r="X50" s="59"/>
      <c r="Y50" s="57"/>
      <c r="Z50" s="60"/>
      <c r="AA50" s="61"/>
      <c r="AB50" s="61"/>
    </row>
    <row r="51" ht="15.75" customHeight="1">
      <c r="A51" s="25">
        <f t="shared" si="1"/>
        <v>11</v>
      </c>
      <c r="B51" s="25">
        <f t="shared" si="8"/>
        <v>9</v>
      </c>
      <c r="C51" s="26" t="s">
        <v>64</v>
      </c>
      <c r="D51" s="27" t="s">
        <v>187</v>
      </c>
      <c r="E51" s="28" t="s">
        <v>61</v>
      </c>
      <c r="F51" s="28" t="s">
        <v>41</v>
      </c>
      <c r="G51" s="29" t="s">
        <v>163</v>
      </c>
      <c r="H51" s="30" t="s">
        <v>30</v>
      </c>
      <c r="I51" s="31" t="s">
        <v>89</v>
      </c>
      <c r="J51" s="32"/>
      <c r="K51" s="30" t="s">
        <v>30</v>
      </c>
      <c r="L51" s="30" t="s">
        <v>30</v>
      </c>
      <c r="M51" s="30" t="s">
        <v>30</v>
      </c>
      <c r="N51" s="30" t="s">
        <v>30</v>
      </c>
      <c r="O51" s="30" t="s">
        <v>30</v>
      </c>
      <c r="P51" s="30" t="s">
        <v>30</v>
      </c>
      <c r="Q51" s="30" t="s">
        <v>30</v>
      </c>
      <c r="R51" s="30" t="s">
        <v>30</v>
      </c>
      <c r="S51" s="30" t="s">
        <v>30</v>
      </c>
      <c r="T51" s="30" t="s">
        <v>30</v>
      </c>
      <c r="U51" s="30" t="s">
        <v>30</v>
      </c>
      <c r="V51" s="30" t="s">
        <v>30</v>
      </c>
      <c r="W51" s="33" t="str">
        <f t="shared" si="7"/>
        <v>#REF!</v>
      </c>
      <c r="X51" s="59"/>
      <c r="Y51" s="57"/>
      <c r="Z51" s="60"/>
      <c r="AA51" s="61"/>
      <c r="AB51" s="61"/>
    </row>
    <row r="52" ht="15.75" customHeight="1">
      <c r="A52" s="25">
        <f t="shared" si="1"/>
        <v>12</v>
      </c>
      <c r="B52" s="25">
        <f t="shared" si="8"/>
        <v>7</v>
      </c>
      <c r="C52" s="26" t="s">
        <v>46</v>
      </c>
      <c r="D52" s="27" t="s">
        <v>188</v>
      </c>
      <c r="E52" s="28" t="s">
        <v>48</v>
      </c>
      <c r="F52" s="28" t="s">
        <v>61</v>
      </c>
      <c r="G52" s="29" t="s">
        <v>62</v>
      </c>
      <c r="H52" s="30" t="s">
        <v>21</v>
      </c>
      <c r="I52" s="31" t="s">
        <v>92</v>
      </c>
      <c r="J52" s="32" t="s">
        <v>189</v>
      </c>
      <c r="K52" s="30" t="s">
        <v>24</v>
      </c>
      <c r="L52" s="30" t="s">
        <v>21</v>
      </c>
      <c r="M52" s="30"/>
      <c r="N52" s="30" t="s">
        <v>21</v>
      </c>
      <c r="O52" s="30" t="s">
        <v>21</v>
      </c>
      <c r="P52" s="30"/>
      <c r="Q52" s="30" t="s">
        <v>21</v>
      </c>
      <c r="R52" s="30" t="s">
        <v>21</v>
      </c>
      <c r="S52" s="30"/>
      <c r="T52" s="30" t="s">
        <v>21</v>
      </c>
      <c r="U52" s="30"/>
      <c r="V52" s="30" t="s">
        <v>21</v>
      </c>
      <c r="W52" s="33" t="str">
        <f t="shared" si="7"/>
        <v>#REF!</v>
      </c>
      <c r="X52" s="59"/>
      <c r="Y52" s="57"/>
      <c r="Z52" s="60"/>
      <c r="AA52" s="61"/>
      <c r="AB52" s="61"/>
    </row>
    <row r="53" ht="15.75" customHeight="1">
      <c r="A53" s="25">
        <f t="shared" si="1"/>
        <v>12</v>
      </c>
      <c r="B53" s="25">
        <f t="shared" si="8"/>
        <v>6</v>
      </c>
      <c r="C53" s="26" t="s">
        <v>113</v>
      </c>
      <c r="D53" s="27" t="s">
        <v>190</v>
      </c>
      <c r="E53" s="28" t="s">
        <v>70</v>
      </c>
      <c r="F53" s="28" t="s">
        <v>48</v>
      </c>
      <c r="G53" s="29" t="s">
        <v>191</v>
      </c>
      <c r="H53" s="30" t="s">
        <v>21</v>
      </c>
      <c r="I53" s="31" t="s">
        <v>92</v>
      </c>
      <c r="J53" s="32" t="s">
        <v>192</v>
      </c>
      <c r="K53" s="30" t="s">
        <v>21</v>
      </c>
      <c r="L53" s="30" t="s">
        <v>21</v>
      </c>
      <c r="M53" s="30"/>
      <c r="N53" s="30" t="s">
        <v>21</v>
      </c>
      <c r="O53" s="30" t="s">
        <v>24</v>
      </c>
      <c r="P53" s="30"/>
      <c r="Q53" s="30" t="s">
        <v>21</v>
      </c>
      <c r="R53" s="30" t="s">
        <v>21</v>
      </c>
      <c r="S53" s="30" t="s">
        <v>58</v>
      </c>
      <c r="T53" s="30" t="s">
        <v>21</v>
      </c>
      <c r="U53" s="30"/>
      <c r="V53" s="30" t="s">
        <v>21</v>
      </c>
      <c r="W53" s="33" t="str">
        <f t="shared" si="7"/>
        <v>#REF!</v>
      </c>
      <c r="X53" s="59"/>
      <c r="Y53" s="57"/>
      <c r="Z53" s="60"/>
      <c r="AA53" s="61"/>
      <c r="AB53" s="61"/>
    </row>
    <row r="54" ht="15.75" customHeight="1">
      <c r="A54" s="25">
        <f t="shared" si="1"/>
        <v>12</v>
      </c>
      <c r="B54" s="25">
        <f t="shared" si="8"/>
        <v>8</v>
      </c>
      <c r="C54" s="26" t="s">
        <v>54</v>
      </c>
      <c r="D54" s="27" t="s">
        <v>193</v>
      </c>
      <c r="E54" s="28" t="s">
        <v>19</v>
      </c>
      <c r="F54" s="28"/>
      <c r="G54" s="29" t="s">
        <v>49</v>
      </c>
      <c r="H54" s="30" t="s">
        <v>30</v>
      </c>
      <c r="I54" s="31" t="s">
        <v>92</v>
      </c>
      <c r="J54" s="32" t="s">
        <v>194</v>
      </c>
      <c r="K54" s="30" t="s">
        <v>30</v>
      </c>
      <c r="L54" s="30" t="s">
        <v>30</v>
      </c>
      <c r="M54" s="30" t="s">
        <v>30</v>
      </c>
      <c r="N54" s="30" t="s">
        <v>30</v>
      </c>
      <c r="O54" s="30" t="s">
        <v>30</v>
      </c>
      <c r="P54" s="30" t="s">
        <v>30</v>
      </c>
      <c r="Q54" s="30" t="s">
        <v>30</v>
      </c>
      <c r="R54" s="30" t="s">
        <v>30</v>
      </c>
      <c r="S54" s="30" t="s">
        <v>30</v>
      </c>
      <c r="T54" s="30" t="s">
        <v>30</v>
      </c>
      <c r="U54" s="30" t="s">
        <v>30</v>
      </c>
      <c r="V54" s="30" t="s">
        <v>30</v>
      </c>
      <c r="W54" s="33" t="str">
        <f t="shared" si="7"/>
        <v>#REF!</v>
      </c>
      <c r="X54" s="59"/>
      <c r="Y54" s="57"/>
      <c r="Z54" s="60"/>
      <c r="AA54" s="61"/>
      <c r="AB54" s="61"/>
    </row>
    <row r="55" ht="15.75" customHeight="1">
      <c r="A55" s="25">
        <f t="shared" si="1"/>
        <v>12</v>
      </c>
      <c r="B55" s="25">
        <f t="shared" si="8"/>
        <v>6</v>
      </c>
      <c r="C55" s="26" t="s">
        <v>113</v>
      </c>
      <c r="D55" s="27" t="s">
        <v>196</v>
      </c>
      <c r="E55" s="28" t="s">
        <v>70</v>
      </c>
      <c r="F55" s="28" t="s">
        <v>61</v>
      </c>
      <c r="G55" s="29" t="s">
        <v>20</v>
      </c>
      <c r="H55" s="30" t="s">
        <v>21</v>
      </c>
      <c r="I55" s="31" t="s">
        <v>92</v>
      </c>
      <c r="J55" s="32" t="s">
        <v>197</v>
      </c>
      <c r="K55" s="30" t="s">
        <v>21</v>
      </c>
      <c r="L55" s="30" t="s">
        <v>24</v>
      </c>
      <c r="M55" s="30"/>
      <c r="N55" s="30" t="s">
        <v>24</v>
      </c>
      <c r="O55" s="30" t="s">
        <v>21</v>
      </c>
      <c r="P55" s="30"/>
      <c r="Q55" s="30" t="s">
        <v>21</v>
      </c>
      <c r="R55" s="30" t="s">
        <v>21</v>
      </c>
      <c r="S55" s="30"/>
      <c r="T55" s="30" t="s">
        <v>21</v>
      </c>
      <c r="U55" s="30"/>
      <c r="V55" s="30" t="s">
        <v>21</v>
      </c>
      <c r="W55" s="33" t="str">
        <f t="shared" si="7"/>
        <v>#REF!</v>
      </c>
      <c r="X55" s="59"/>
      <c r="Y55" s="57"/>
      <c r="Z55" s="60"/>
      <c r="AA55" s="61"/>
      <c r="AB55" s="61"/>
    </row>
    <row r="56" ht="15.75" customHeight="1">
      <c r="A56" s="25">
        <f t="shared" si="1"/>
        <v>12</v>
      </c>
      <c r="B56" s="25">
        <f t="shared" si="8"/>
        <v>10</v>
      </c>
      <c r="C56" s="26" t="s">
        <v>84</v>
      </c>
      <c r="D56" s="62" t="s">
        <v>198</v>
      </c>
      <c r="E56" s="28" t="s">
        <v>70</v>
      </c>
      <c r="F56" s="28" t="s">
        <v>61</v>
      </c>
      <c r="G56" s="29" t="s">
        <v>71</v>
      </c>
      <c r="H56" s="30" t="s">
        <v>21</v>
      </c>
      <c r="I56" s="31" t="s">
        <v>92</v>
      </c>
      <c r="J56" s="32" t="s">
        <v>199</v>
      </c>
      <c r="K56" s="30" t="s">
        <v>21</v>
      </c>
      <c r="L56" s="30" t="s">
        <v>21</v>
      </c>
      <c r="M56" s="30" t="s">
        <v>58</v>
      </c>
      <c r="N56" s="30" t="s">
        <v>21</v>
      </c>
      <c r="O56" s="30" t="s">
        <v>21</v>
      </c>
      <c r="P56" s="30" t="s">
        <v>58</v>
      </c>
      <c r="Q56" s="30" t="s">
        <v>21</v>
      </c>
      <c r="R56" s="30" t="s">
        <v>21</v>
      </c>
      <c r="S56" s="30" t="s">
        <v>58</v>
      </c>
      <c r="T56" s="30" t="s">
        <v>21</v>
      </c>
      <c r="U56" s="30"/>
      <c r="V56" s="30" t="s">
        <v>21</v>
      </c>
      <c r="W56" s="33" t="str">
        <f t="shared" si="7"/>
        <v>#REF!</v>
      </c>
      <c r="X56" s="59"/>
      <c r="Y56" s="57"/>
      <c r="Z56" s="60"/>
      <c r="AA56" s="61"/>
      <c r="AB56" s="61"/>
    </row>
    <row r="57" ht="15.75" customHeight="1">
      <c r="A57" s="25">
        <f t="shared" si="1"/>
        <v>12</v>
      </c>
      <c r="B57" s="25">
        <f t="shared" si="8"/>
        <v>11</v>
      </c>
      <c r="C57" s="26" t="s">
        <v>79</v>
      </c>
      <c r="D57" s="27" t="s">
        <v>200</v>
      </c>
      <c r="E57" s="28" t="s">
        <v>19</v>
      </c>
      <c r="F57" s="28" t="s">
        <v>70</v>
      </c>
      <c r="G57" s="29" t="s">
        <v>71</v>
      </c>
      <c r="H57" s="30" t="s">
        <v>21</v>
      </c>
      <c r="I57" s="31" t="s">
        <v>92</v>
      </c>
      <c r="J57" s="32" t="s">
        <v>199</v>
      </c>
      <c r="K57" s="30" t="s">
        <v>21</v>
      </c>
      <c r="L57" s="30" t="s">
        <v>24</v>
      </c>
      <c r="M57" s="30"/>
      <c r="N57" s="30" t="s">
        <v>24</v>
      </c>
      <c r="O57" s="30" t="s">
        <v>21</v>
      </c>
      <c r="P57" s="30"/>
      <c r="Q57" s="30" t="s">
        <v>21</v>
      </c>
      <c r="R57" s="30" t="s">
        <v>21</v>
      </c>
      <c r="S57" s="30"/>
      <c r="T57" s="30" t="s">
        <v>24</v>
      </c>
      <c r="U57" s="30"/>
      <c r="V57" s="30" t="s">
        <v>24</v>
      </c>
      <c r="W57" s="33" t="str">
        <f t="shared" si="7"/>
        <v>#REF!</v>
      </c>
    </row>
    <row r="58" ht="15.75" customHeight="1">
      <c r="A58" s="25">
        <f t="shared" si="1"/>
        <v>12</v>
      </c>
      <c r="B58" s="25">
        <f t="shared" si="8"/>
        <v>11</v>
      </c>
      <c r="C58" s="26" t="s">
        <v>79</v>
      </c>
      <c r="D58" s="27" t="s">
        <v>201</v>
      </c>
      <c r="E58" s="28" t="s">
        <v>19</v>
      </c>
      <c r="F58" s="28"/>
      <c r="G58" s="29" t="s">
        <v>62</v>
      </c>
      <c r="H58" s="30" t="s">
        <v>21</v>
      </c>
      <c r="I58" s="31" t="s">
        <v>92</v>
      </c>
      <c r="J58" s="32" t="s">
        <v>202</v>
      </c>
      <c r="K58" s="30" t="s">
        <v>24</v>
      </c>
      <c r="L58" s="30" t="s">
        <v>24</v>
      </c>
      <c r="M58" s="30"/>
      <c r="N58" s="30" t="s">
        <v>21</v>
      </c>
      <c r="O58" s="30" t="s">
        <v>21</v>
      </c>
      <c r="P58" s="30" t="s">
        <v>58</v>
      </c>
      <c r="Q58" s="30" t="s">
        <v>21</v>
      </c>
      <c r="R58" s="30" t="s">
        <v>24</v>
      </c>
      <c r="S58" s="30"/>
      <c r="T58" s="30" t="s">
        <v>24</v>
      </c>
      <c r="U58" s="30"/>
      <c r="V58" s="30" t="s">
        <v>21</v>
      </c>
      <c r="W58" s="33" t="str">
        <f t="shared" si="7"/>
        <v>#REF!</v>
      </c>
    </row>
    <row r="59" ht="15.75" customHeight="1">
      <c r="A59" s="25">
        <f t="shared" si="1"/>
        <v>12</v>
      </c>
      <c r="B59" s="25">
        <f t="shared" si="8"/>
        <v>10</v>
      </c>
      <c r="C59" s="26" t="s">
        <v>84</v>
      </c>
      <c r="D59" s="27" t="s">
        <v>203</v>
      </c>
      <c r="E59" s="28" t="s">
        <v>61</v>
      </c>
      <c r="F59" s="28" t="s">
        <v>41</v>
      </c>
      <c r="G59" s="29" t="s">
        <v>71</v>
      </c>
      <c r="H59" s="30" t="s">
        <v>21</v>
      </c>
      <c r="I59" s="31" t="s">
        <v>92</v>
      </c>
      <c r="J59" s="32" t="s">
        <v>204</v>
      </c>
      <c r="K59" s="30" t="s">
        <v>21</v>
      </c>
      <c r="L59" s="30" t="s">
        <v>21</v>
      </c>
      <c r="M59" s="30"/>
      <c r="N59" s="30" t="s">
        <v>24</v>
      </c>
      <c r="O59" s="30" t="s">
        <v>24</v>
      </c>
      <c r="P59" s="30" t="s">
        <v>58</v>
      </c>
      <c r="Q59" s="30" t="s">
        <v>21</v>
      </c>
      <c r="R59" s="30" t="s">
        <v>21</v>
      </c>
      <c r="S59" s="30"/>
      <c r="T59" s="30" t="s">
        <v>21</v>
      </c>
      <c r="U59" s="30"/>
      <c r="V59" s="30" t="s">
        <v>21</v>
      </c>
      <c r="W59" s="33" t="str">
        <f t="shared" si="7"/>
        <v>#REF!</v>
      </c>
      <c r="X59" s="92" t="s">
        <v>254</v>
      </c>
      <c r="Y59" s="7"/>
      <c r="Z59" s="7"/>
      <c r="AA59" s="7"/>
      <c r="AB59" s="8"/>
    </row>
    <row r="60" ht="15.75" customHeight="1">
      <c r="A60" s="25">
        <f t="shared" si="1"/>
        <v>12</v>
      </c>
      <c r="B60" s="25">
        <f t="shared" si="8"/>
        <v>11</v>
      </c>
      <c r="C60" s="26" t="s">
        <v>79</v>
      </c>
      <c r="D60" s="27" t="s">
        <v>209</v>
      </c>
      <c r="E60" s="28" t="s">
        <v>19</v>
      </c>
      <c r="F60" s="28"/>
      <c r="G60" s="29" t="s">
        <v>71</v>
      </c>
      <c r="H60" s="30" t="s">
        <v>21</v>
      </c>
      <c r="I60" s="31" t="s">
        <v>92</v>
      </c>
      <c r="J60" s="32" t="s">
        <v>204</v>
      </c>
      <c r="K60" s="30" t="s">
        <v>21</v>
      </c>
      <c r="L60" s="30" t="s">
        <v>24</v>
      </c>
      <c r="M60" s="30" t="s">
        <v>58</v>
      </c>
      <c r="N60" s="30" t="s">
        <v>24</v>
      </c>
      <c r="O60" s="30" t="s">
        <v>21</v>
      </c>
      <c r="P60" s="30" t="s">
        <v>58</v>
      </c>
      <c r="Q60" s="30" t="s">
        <v>21</v>
      </c>
      <c r="R60" s="30" t="s">
        <v>21</v>
      </c>
      <c r="S60" s="30" t="s">
        <v>58</v>
      </c>
      <c r="T60" s="30" t="s">
        <v>24</v>
      </c>
      <c r="U60" s="30"/>
      <c r="V60" s="30" t="s">
        <v>21</v>
      </c>
      <c r="W60" s="33" t="str">
        <f t="shared" si="7"/>
        <v>#REF!</v>
      </c>
    </row>
    <row r="61" ht="15.75" customHeight="1">
      <c r="A61" s="25">
        <f t="shared" si="1"/>
        <v>12</v>
      </c>
      <c r="B61" s="25">
        <f t="shared" si="8"/>
        <v>9</v>
      </c>
      <c r="C61" s="26" t="s">
        <v>64</v>
      </c>
      <c r="D61" s="27" t="s">
        <v>205</v>
      </c>
      <c r="E61" s="28" t="s">
        <v>19</v>
      </c>
      <c r="F61" s="28"/>
      <c r="G61" s="29" t="s">
        <v>163</v>
      </c>
      <c r="H61" s="30" t="s">
        <v>30</v>
      </c>
      <c r="I61" s="31" t="s">
        <v>92</v>
      </c>
      <c r="J61" s="32"/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0" t="s">
        <v>30</v>
      </c>
      <c r="W61" s="33" t="str">
        <f t="shared" si="7"/>
        <v>#REF!</v>
      </c>
    </row>
    <row r="62" ht="15.75" customHeight="1">
      <c r="A62" s="25">
        <f t="shared" si="1"/>
        <v>12</v>
      </c>
      <c r="B62" s="25">
        <f t="shared" si="8"/>
        <v>10</v>
      </c>
      <c r="C62" s="26" t="s">
        <v>84</v>
      </c>
      <c r="D62" s="27" t="s">
        <v>207</v>
      </c>
      <c r="E62" s="28" t="s">
        <v>19</v>
      </c>
      <c r="F62" s="28"/>
      <c r="G62" s="29" t="s">
        <v>49</v>
      </c>
      <c r="H62" s="30" t="s">
        <v>30</v>
      </c>
      <c r="I62" s="31" t="s">
        <v>92</v>
      </c>
      <c r="J62" s="32"/>
      <c r="K62" s="30" t="s">
        <v>33</v>
      </c>
      <c r="L62" s="30" t="s">
        <v>30</v>
      </c>
      <c r="M62" s="30" t="s">
        <v>30</v>
      </c>
      <c r="N62" s="30" t="s">
        <v>30</v>
      </c>
      <c r="O62" s="30" t="s">
        <v>30</v>
      </c>
      <c r="P62" s="93" t="s">
        <v>30</v>
      </c>
      <c r="Q62" s="30" t="s">
        <v>30</v>
      </c>
      <c r="R62" s="30" t="s">
        <v>30</v>
      </c>
      <c r="S62" s="30" t="s">
        <v>30</v>
      </c>
      <c r="T62" s="30" t="s">
        <v>30</v>
      </c>
      <c r="U62" s="30" t="s">
        <v>30</v>
      </c>
      <c r="V62" s="30" t="s">
        <v>30</v>
      </c>
      <c r="W62" s="33" t="str">
        <f>SUM( (COUNTIF(K62,"A") + (COUNTIF(K62,"T")/2) + (COUNTIF(K62,"O")/2) )+ (COUNTIF(L62,"A") + (COUNTIF(L62,"T")/2) + (COUNTIF(L62,"O")/2) )+ (COUNTIF(M62,"A") + (COUNTIF(M62,"T")/2) + (COUNTIF(M62,"O")/2) )+ (COUNTIF(N62,"A") + (COUNTIF(N62,"T")/2) + (COUNTIF(N62,"O")/2) )+ (COUNTIF(#REF!,"A") + (COUNTIF(#REF!,"T")/2) + (COUNTIF(#REF!,"O")/2) )+ (COUNTIF(O62,"A") + (COUNTIF(O62,"T")/2) + (COUNTIF(O62,"O")/2) )+ (COUNTIF(Q62,"A") + (COUNTIF(Q62,"T")/2) + (COUNTIF(Q62,"O")/2) )+ (COUNTIF(R62,"A") + (COUNTIF(R62,"T")/2) + (COUNTIF(R62,"O")/2) )+ (COUNTIF(S62,"A") + (COUNTIF(S62,"T")/2) + (COUNTIF(S62,"O")/2) )+ (COUNTIF(#REF!,"A") + (COUNTIF(#REF!,"T")/2) + (COUNTIF(#REF!,"O")/2) )+ (COUNTIF(T62,"A") + (COUNTIF(T62,"T")/2) + (COUNTIF(T62,"O")/2) )+ (COUNTIF(U62,"A") + (COUNTIF(U62,"T")/2) + (COUNTIF(U62,"O")/2) )+ (COUNTIF(V62,"A") + (COUNTIF(V62,"T")/2) + (COUNTIF(V62,"O")/2) ) )/$W$1</f>
        <v>#REF!</v>
      </c>
    </row>
    <row r="63" ht="15.75" customHeight="1">
      <c r="A63" s="25">
        <f t="shared" si="1"/>
        <v>13</v>
      </c>
      <c r="B63" s="25">
        <f t="shared" si="8"/>
        <v>10</v>
      </c>
      <c r="C63" s="26" t="s">
        <v>84</v>
      </c>
      <c r="D63" s="27" t="s">
        <v>211</v>
      </c>
      <c r="E63" s="28" t="s">
        <v>61</v>
      </c>
      <c r="F63" s="28" t="s">
        <v>19</v>
      </c>
      <c r="G63" s="29" t="s">
        <v>62</v>
      </c>
      <c r="H63" s="30" t="s">
        <v>21</v>
      </c>
      <c r="I63" s="31" t="s">
        <v>95</v>
      </c>
      <c r="J63" s="32" t="s">
        <v>210</v>
      </c>
      <c r="K63" s="30" t="s">
        <v>24</v>
      </c>
      <c r="L63" s="30" t="s">
        <v>21</v>
      </c>
      <c r="M63" s="30" t="s">
        <v>58</v>
      </c>
      <c r="N63" s="30" t="s">
        <v>21</v>
      </c>
      <c r="O63" s="30" t="s">
        <v>21</v>
      </c>
      <c r="P63" s="30"/>
      <c r="Q63" s="30" t="s">
        <v>24</v>
      </c>
      <c r="R63" s="30" t="s">
        <v>21</v>
      </c>
      <c r="S63" s="30"/>
      <c r="T63" s="30" t="s">
        <v>21</v>
      </c>
      <c r="U63" s="30"/>
      <c r="V63" s="30" t="s">
        <v>21</v>
      </c>
      <c r="W63" s="33" t="str">
        <f t="shared" ref="W63:W98" si="9">SUM( (COUNTIF(K63,"A") + (COUNTIF(K63,"T")/2) + (COUNTIF(K63,"O")/2) )+ (COUNTIF(L63,"A") + (COUNTIF(L63,"T")/2) + (COUNTIF(L63,"O")/2) )+ (COUNTIF(M63,"A") + (COUNTIF(M63,"T")/2) + (COUNTIF(M63,"O")/2) )+ (COUNTIF(N63,"A") + (COUNTIF(N63,"T")/2) + (COUNTIF(N63,"O")/2) )+ (COUNTIF(O63,"A") + (COUNTIF(O63,"T")/2) + (COUNTIF(O63,"O")/2) )+ (COUNTIF(P63,"A") + (COUNTIF(P63,"T")/2) + (COUNTIF(P63,"O")/2) )+ (COUNTIF(Q63,"A") + (COUNTIF(Q63,"T")/2) + (COUNTIF(Q63,"O")/2) )+ (COUNTIF(R63,"A") + (COUNTIF(R63,"T")/2) + (COUNTIF(R63,"O")/2) )+ (COUNTIF(S63,"A") + (COUNTIF(S63,"T")/2) + (COUNTIF(S63,"O")/2) )+ (COUNTIF(#REF!,"A") + (COUNTIF(#REF!,"T")/2) + (COUNTIF(#REF!,"O")/2) )+ (COUNTIF(T63,"A") + (COUNTIF(T63,"T")/2) + (COUNTIF(T63,"O")/2) )+ (COUNTIF(U63,"A") + (COUNTIF(U63,"T")/2) + (COUNTIF(U63,"O")/2) )+ (COUNTIF(V63,"A") + (COUNTIF(V63,"T")/2) + (COUNTIF(V63,"O")/2) ) )/$W$1</f>
        <v>#REF!</v>
      </c>
    </row>
    <row r="64" ht="15.75" customHeight="1">
      <c r="A64" s="25">
        <f t="shared" si="1"/>
        <v>13</v>
      </c>
      <c r="B64" s="25">
        <f t="shared" si="8"/>
        <v>8</v>
      </c>
      <c r="C64" s="26" t="s">
        <v>54</v>
      </c>
      <c r="D64" s="27" t="s">
        <v>242</v>
      </c>
      <c r="E64" s="28" t="s">
        <v>76</v>
      </c>
      <c r="F64" s="28"/>
      <c r="G64" s="29" t="s">
        <v>49</v>
      </c>
      <c r="H64" s="30" t="s">
        <v>21</v>
      </c>
      <c r="I64" s="31" t="s">
        <v>95</v>
      </c>
      <c r="J64" s="32" t="s">
        <v>216</v>
      </c>
      <c r="K64" s="30" t="s">
        <v>21</v>
      </c>
      <c r="L64" s="30" t="s">
        <v>21</v>
      </c>
      <c r="M64" s="30"/>
      <c r="N64" s="30" t="s">
        <v>21</v>
      </c>
      <c r="O64" s="30" t="s">
        <v>21</v>
      </c>
      <c r="P64" s="94"/>
      <c r="Q64" s="30" t="s">
        <v>21</v>
      </c>
      <c r="R64" s="30" t="s">
        <v>21</v>
      </c>
      <c r="S64" s="30"/>
      <c r="T64" s="30" t="s">
        <v>21</v>
      </c>
      <c r="U64" s="30"/>
      <c r="V64" s="30" t="s">
        <v>21</v>
      </c>
      <c r="W64" s="33" t="str">
        <f t="shared" si="9"/>
        <v>#REF!</v>
      </c>
    </row>
    <row r="65" ht="15.75" customHeight="1">
      <c r="A65" s="25">
        <f t="shared" si="1"/>
        <v>13</v>
      </c>
      <c r="B65" s="25">
        <f t="shared" si="8"/>
        <v>9</v>
      </c>
      <c r="C65" s="26" t="s">
        <v>64</v>
      </c>
      <c r="D65" s="27" t="s">
        <v>215</v>
      </c>
      <c r="E65" s="28" t="s">
        <v>41</v>
      </c>
      <c r="F65" s="28" t="s">
        <v>76</v>
      </c>
      <c r="G65" s="29" t="s">
        <v>71</v>
      </c>
      <c r="H65" s="30" t="s">
        <v>21</v>
      </c>
      <c r="I65" s="31" t="s">
        <v>95</v>
      </c>
      <c r="J65" s="32" t="s">
        <v>216</v>
      </c>
      <c r="K65" s="30" t="s">
        <v>24</v>
      </c>
      <c r="L65" s="30" t="s">
        <v>24</v>
      </c>
      <c r="M65" s="30"/>
      <c r="N65" s="30" t="s">
        <v>21</v>
      </c>
      <c r="O65" s="30" t="s">
        <v>21</v>
      </c>
      <c r="P65" s="30"/>
      <c r="Q65" s="30" t="s">
        <v>24</v>
      </c>
      <c r="R65" s="30" t="s">
        <v>21</v>
      </c>
      <c r="S65" s="30"/>
      <c r="T65" s="30" t="s">
        <v>21</v>
      </c>
      <c r="U65" s="30"/>
      <c r="V65" s="30" t="s">
        <v>21</v>
      </c>
      <c r="W65" s="33" t="str">
        <f t="shared" si="9"/>
        <v>#REF!</v>
      </c>
    </row>
    <row r="66" ht="15.75" customHeight="1">
      <c r="A66" s="25">
        <f t="shared" si="1"/>
        <v>13</v>
      </c>
      <c r="B66" s="25">
        <f t="shared" si="8"/>
        <v>10</v>
      </c>
      <c r="C66" s="26" t="s">
        <v>84</v>
      </c>
      <c r="D66" s="27" t="s">
        <v>75</v>
      </c>
      <c r="E66" s="28" t="s">
        <v>70</v>
      </c>
      <c r="F66" s="28" t="s">
        <v>76</v>
      </c>
      <c r="G66" s="29" t="s">
        <v>71</v>
      </c>
      <c r="H66" s="30" t="s">
        <v>21</v>
      </c>
      <c r="I66" s="31" t="s">
        <v>95</v>
      </c>
      <c r="J66" s="32" t="s">
        <v>255</v>
      </c>
      <c r="K66" s="30" t="s">
        <v>24</v>
      </c>
      <c r="L66" s="30" t="s">
        <v>21</v>
      </c>
      <c r="M66" s="30"/>
      <c r="N66" s="30" t="s">
        <v>24</v>
      </c>
      <c r="O66" s="30" t="s">
        <v>21</v>
      </c>
      <c r="P66" s="30"/>
      <c r="Q66" s="30" t="s">
        <v>21</v>
      </c>
      <c r="R66" s="30" t="s">
        <v>21</v>
      </c>
      <c r="S66" s="30"/>
      <c r="T66" s="30" t="s">
        <v>21</v>
      </c>
      <c r="U66" s="30"/>
      <c r="V66" s="30" t="s">
        <v>21</v>
      </c>
      <c r="W66" s="33" t="str">
        <f t="shared" si="9"/>
        <v>#REF!</v>
      </c>
    </row>
    <row r="67" ht="15.75" customHeight="1">
      <c r="A67" s="25">
        <f t="shared" si="1"/>
        <v>15</v>
      </c>
      <c r="B67" s="25">
        <f t="shared" si="8"/>
        <v>15</v>
      </c>
      <c r="C67" s="26"/>
      <c r="D67" s="27"/>
      <c r="E67" s="28"/>
      <c r="F67" s="28"/>
      <c r="G67" s="29"/>
      <c r="H67" s="42"/>
      <c r="I67" s="31"/>
      <c r="J67" s="3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33" t="str">
        <f t="shared" si="9"/>
        <v>#REF!</v>
      </c>
      <c r="X67" s="47"/>
      <c r="Y67" s="47"/>
      <c r="Z67" s="48"/>
      <c r="AA67" s="1"/>
      <c r="AB67" s="1"/>
    </row>
    <row r="68" ht="15.75" customHeight="1">
      <c r="A68" s="25">
        <f t="shared" si="1"/>
        <v>15</v>
      </c>
      <c r="B68" s="25">
        <f t="shared" si="8"/>
        <v>15</v>
      </c>
      <c r="C68" s="26"/>
      <c r="D68" s="27"/>
      <c r="E68" s="28"/>
      <c r="F68" s="28"/>
      <c r="G68" s="29"/>
      <c r="H68" s="30"/>
      <c r="I68" s="31"/>
      <c r="J68" s="32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3" t="str">
        <f t="shared" si="9"/>
        <v>#REF!</v>
      </c>
      <c r="X68" s="47"/>
      <c r="Y68" s="47"/>
      <c r="Z68" s="48"/>
      <c r="AA68" s="1"/>
      <c r="AB68" s="1"/>
    </row>
    <row r="69" ht="15.75" customHeight="1">
      <c r="A69" s="25">
        <f t="shared" si="1"/>
        <v>15</v>
      </c>
      <c r="B69" s="25">
        <f t="shared" si="8"/>
        <v>15</v>
      </c>
      <c r="C69" s="26"/>
      <c r="D69" s="27"/>
      <c r="E69" s="28"/>
      <c r="F69" s="28"/>
      <c r="G69" s="29"/>
      <c r="H69" s="30"/>
      <c r="I69" s="31"/>
      <c r="J69" s="32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42"/>
      <c r="W69" s="33" t="str">
        <f t="shared" si="9"/>
        <v>#REF!</v>
      </c>
      <c r="X69" s="47"/>
      <c r="Y69" s="47"/>
      <c r="Z69" s="48"/>
      <c r="AA69" s="1"/>
      <c r="AB69" s="1"/>
    </row>
    <row r="70" ht="15.75" customHeight="1">
      <c r="A70" s="25">
        <f t="shared" si="1"/>
        <v>15</v>
      </c>
      <c r="B70" s="25">
        <f t="shared" si="8"/>
        <v>15</v>
      </c>
      <c r="C70" s="26"/>
      <c r="D70" s="27"/>
      <c r="E70" s="28"/>
      <c r="F70" s="28"/>
      <c r="G70" s="29"/>
      <c r="H70" s="30"/>
      <c r="I70" s="31"/>
      <c r="J70" s="32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3" t="str">
        <f t="shared" si="9"/>
        <v>#REF!</v>
      </c>
      <c r="X70" s="47"/>
      <c r="Y70" s="47"/>
      <c r="Z70" s="48"/>
      <c r="AA70" s="1"/>
      <c r="AB70" s="1"/>
    </row>
    <row r="71" ht="15.75" customHeight="1">
      <c r="A71" s="25">
        <f t="shared" si="1"/>
        <v>15</v>
      </c>
      <c r="B71" s="25">
        <f t="shared" si="8"/>
        <v>15</v>
      </c>
      <c r="C71" s="26"/>
      <c r="D71" s="27"/>
      <c r="E71" s="28"/>
      <c r="F71" s="28"/>
      <c r="G71" s="29"/>
      <c r="H71" s="30"/>
      <c r="I71" s="31"/>
      <c r="J71" s="32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3" t="str">
        <f t="shared" si="9"/>
        <v>#REF!</v>
      </c>
      <c r="X71" s="47"/>
      <c r="Y71" s="47"/>
      <c r="Z71" s="48"/>
      <c r="AA71" s="1"/>
      <c r="AB71" s="1"/>
    </row>
    <row r="72" ht="15.75" customHeight="1">
      <c r="A72" s="25">
        <f t="shared" si="1"/>
        <v>15</v>
      </c>
      <c r="B72" s="25">
        <f t="shared" si="8"/>
        <v>15</v>
      </c>
      <c r="C72" s="26"/>
      <c r="D72" s="27"/>
      <c r="E72" s="28"/>
      <c r="F72" s="28"/>
      <c r="G72" s="29"/>
      <c r="H72" s="30"/>
      <c r="I72" s="31"/>
      <c r="J72" s="32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3" t="str">
        <f t="shared" si="9"/>
        <v>#REF!</v>
      </c>
      <c r="X72" s="47"/>
      <c r="Y72" s="47"/>
      <c r="Z72" s="48"/>
      <c r="AA72" s="1"/>
      <c r="AB72" s="1"/>
    </row>
    <row r="73" ht="15.75" customHeight="1">
      <c r="A73" s="25">
        <f t="shared" si="1"/>
        <v>15</v>
      </c>
      <c r="B73" s="25">
        <f t="shared" si="8"/>
        <v>15</v>
      </c>
      <c r="C73" s="26"/>
      <c r="D73" s="27"/>
      <c r="E73" s="28"/>
      <c r="F73" s="28"/>
      <c r="G73" s="29"/>
      <c r="H73" s="30"/>
      <c r="I73" s="31"/>
      <c r="J73" s="32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3" t="str">
        <f t="shared" si="9"/>
        <v>#REF!</v>
      </c>
      <c r="X73" s="47"/>
      <c r="Y73" s="47"/>
      <c r="Z73" s="48"/>
      <c r="AA73" s="1"/>
      <c r="AB73" s="1"/>
    </row>
    <row r="74" ht="15.75" customHeight="1">
      <c r="A74" s="25">
        <f t="shared" si="1"/>
        <v>15</v>
      </c>
      <c r="B74" s="25">
        <f t="shared" si="8"/>
        <v>15</v>
      </c>
      <c r="C74" s="26"/>
      <c r="D74" s="27"/>
      <c r="E74" s="28"/>
      <c r="F74" s="28"/>
      <c r="G74" s="29"/>
      <c r="H74" s="30"/>
      <c r="I74" s="31"/>
      <c r="J74" s="32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3" t="str">
        <f t="shared" si="9"/>
        <v>#REF!</v>
      </c>
      <c r="X74" s="47"/>
      <c r="Y74" s="47"/>
      <c r="Z74" s="48"/>
      <c r="AA74" s="1"/>
      <c r="AB74" s="1"/>
    </row>
    <row r="75" ht="15.75" customHeight="1">
      <c r="A75" s="25">
        <f t="shared" si="1"/>
        <v>15</v>
      </c>
      <c r="B75" s="25">
        <f t="shared" si="8"/>
        <v>15</v>
      </c>
      <c r="C75" s="26"/>
      <c r="D75" s="27"/>
      <c r="E75" s="28"/>
      <c r="F75" s="28"/>
      <c r="G75" s="29"/>
      <c r="H75" s="30"/>
      <c r="I75" s="31"/>
      <c r="J75" s="32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3" t="str">
        <f t="shared" si="9"/>
        <v>#REF!</v>
      </c>
      <c r="X75" s="47"/>
      <c r="Y75" s="47"/>
      <c r="Z75" s="48"/>
      <c r="AA75" s="1"/>
      <c r="AB75" s="1"/>
    </row>
    <row r="76" ht="15.75" customHeight="1">
      <c r="A76" s="25">
        <f t="shared" si="1"/>
        <v>15</v>
      </c>
      <c r="B76" s="25">
        <f t="shared" si="8"/>
        <v>15</v>
      </c>
      <c r="C76" s="26"/>
      <c r="D76" s="27"/>
      <c r="E76" s="28"/>
      <c r="F76" s="28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3" t="str">
        <f t="shared" si="9"/>
        <v>#REF!</v>
      </c>
      <c r="X76" s="47"/>
      <c r="Y76" s="47"/>
      <c r="Z76" s="48"/>
      <c r="AA76" s="1"/>
      <c r="AB76" s="1"/>
    </row>
    <row r="77" ht="15.75" customHeight="1">
      <c r="A77" s="25">
        <f t="shared" si="1"/>
        <v>15</v>
      </c>
      <c r="B77" s="25">
        <f t="shared" si="8"/>
        <v>15</v>
      </c>
      <c r="C77" s="26"/>
      <c r="D77" s="27"/>
      <c r="E77" s="28"/>
      <c r="F77" s="28"/>
      <c r="G77" s="29"/>
      <c r="H77" s="30"/>
      <c r="I77" s="31"/>
      <c r="J77" s="32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3" t="str">
        <f t="shared" si="9"/>
        <v>#REF!</v>
      </c>
      <c r="X77" s="47"/>
      <c r="Y77" s="47"/>
      <c r="Z77" s="48"/>
      <c r="AA77" s="1"/>
      <c r="AB77" s="1"/>
    </row>
    <row r="78" ht="15.75" customHeight="1">
      <c r="A78" s="25">
        <f t="shared" si="1"/>
        <v>15</v>
      </c>
      <c r="B78" s="25">
        <f t="shared" si="8"/>
        <v>15</v>
      </c>
      <c r="C78" s="26"/>
      <c r="D78" s="27"/>
      <c r="E78" s="28"/>
      <c r="F78" s="28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3" t="str">
        <f t="shared" si="9"/>
        <v>#REF!</v>
      </c>
      <c r="X78" s="47"/>
      <c r="Y78" s="47"/>
      <c r="Z78" s="48"/>
      <c r="AA78" s="1"/>
      <c r="AB78" s="1"/>
    </row>
    <row r="79" ht="15.75" customHeight="1">
      <c r="A79" s="25">
        <f t="shared" si="1"/>
        <v>15</v>
      </c>
      <c r="B79" s="25">
        <f t="shared" si="8"/>
        <v>15</v>
      </c>
      <c r="C79" s="26"/>
      <c r="D79" s="27"/>
      <c r="E79" s="28"/>
      <c r="F79" s="28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3" t="str">
        <f t="shared" si="9"/>
        <v>#REF!</v>
      </c>
      <c r="X79" s="47"/>
      <c r="Y79" s="47"/>
      <c r="Z79" s="48"/>
      <c r="AA79" s="1"/>
      <c r="AB79" s="1"/>
    </row>
    <row r="80" ht="15.75" customHeight="1">
      <c r="A80" s="25">
        <f t="shared" si="1"/>
        <v>15</v>
      </c>
      <c r="B80" s="25">
        <f t="shared" si="8"/>
        <v>15</v>
      </c>
      <c r="C80" s="26"/>
      <c r="D80" s="27"/>
      <c r="E80" s="28"/>
      <c r="F80" s="28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3" t="str">
        <f t="shared" si="9"/>
        <v>#REF!</v>
      </c>
      <c r="X80" s="47"/>
      <c r="Y80" s="47"/>
      <c r="Z80" s="48"/>
      <c r="AA80" s="1"/>
      <c r="AB80" s="1"/>
    </row>
    <row r="81" ht="15.75" customHeight="1">
      <c r="A81" s="25">
        <f t="shared" si="1"/>
        <v>15</v>
      </c>
      <c r="B81" s="25">
        <f t="shared" si="8"/>
        <v>15</v>
      </c>
      <c r="C81" s="26"/>
      <c r="D81" s="27"/>
      <c r="E81" s="28"/>
      <c r="F81" s="28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3" t="str">
        <f t="shared" si="9"/>
        <v>#REF!</v>
      </c>
      <c r="X81" s="47"/>
      <c r="Y81" s="47"/>
      <c r="Z81" s="48"/>
      <c r="AA81" s="1"/>
      <c r="AB81" s="1"/>
    </row>
    <row r="82" ht="15.75" customHeight="1">
      <c r="A82" s="25">
        <f t="shared" si="1"/>
        <v>15</v>
      </c>
      <c r="B82" s="25">
        <f t="shared" si="8"/>
        <v>15</v>
      </c>
      <c r="C82" s="26"/>
      <c r="D82" s="27"/>
      <c r="E82" s="28"/>
      <c r="F82" s="28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3" t="str">
        <f t="shared" si="9"/>
        <v>#REF!</v>
      </c>
      <c r="X82" s="47"/>
      <c r="Y82" s="47"/>
      <c r="Z82" s="48"/>
      <c r="AA82" s="1"/>
      <c r="AB82" s="1"/>
    </row>
    <row r="83" ht="15.75" customHeight="1">
      <c r="A83" s="25">
        <f t="shared" si="1"/>
        <v>15</v>
      </c>
      <c r="B83" s="25">
        <f t="shared" si="8"/>
        <v>15</v>
      </c>
      <c r="C83" s="26"/>
      <c r="D83" s="27"/>
      <c r="E83" s="28"/>
      <c r="F83" s="28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3" t="str">
        <f t="shared" si="9"/>
        <v>#REF!</v>
      </c>
      <c r="X83" s="47"/>
      <c r="Y83" s="47"/>
      <c r="Z83" s="48"/>
      <c r="AA83" s="1"/>
      <c r="AB83" s="1"/>
    </row>
    <row r="84" ht="15.75" customHeight="1">
      <c r="A84" s="25">
        <f t="shared" si="1"/>
        <v>15</v>
      </c>
      <c r="B84" s="25">
        <f t="shared" si="8"/>
        <v>15</v>
      </c>
      <c r="C84" s="26"/>
      <c r="D84" s="27"/>
      <c r="E84" s="28"/>
      <c r="F84" s="28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3" t="str">
        <f t="shared" si="9"/>
        <v>#REF!</v>
      </c>
      <c r="X84" s="47"/>
      <c r="Y84" s="47"/>
      <c r="Z84" s="48"/>
      <c r="AA84" s="1"/>
      <c r="AB84" s="1"/>
    </row>
    <row r="85" ht="15.75" customHeight="1">
      <c r="A85" s="25">
        <f t="shared" si="1"/>
        <v>15</v>
      </c>
      <c r="B85" s="25">
        <f t="shared" si="8"/>
        <v>15</v>
      </c>
      <c r="C85" s="26"/>
      <c r="D85" s="27"/>
      <c r="E85" s="28"/>
      <c r="F85" s="28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3" t="str">
        <f t="shared" si="9"/>
        <v>#REF!</v>
      </c>
      <c r="X85" s="47"/>
      <c r="Y85" s="47"/>
      <c r="Z85" s="48"/>
      <c r="AA85" s="1"/>
      <c r="AB85" s="1"/>
    </row>
    <row r="86" ht="15.75" customHeight="1">
      <c r="A86" s="25">
        <f t="shared" si="1"/>
        <v>15</v>
      </c>
      <c r="B86" s="25">
        <f t="shared" si="8"/>
        <v>15</v>
      </c>
      <c r="C86" s="26"/>
      <c r="D86" s="27"/>
      <c r="E86" s="28"/>
      <c r="F86" s="28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3" t="str">
        <f t="shared" si="9"/>
        <v>#REF!</v>
      </c>
      <c r="X86" s="47"/>
      <c r="Y86" s="47"/>
      <c r="Z86" s="48"/>
      <c r="AA86" s="1"/>
      <c r="AB86" s="1"/>
    </row>
    <row r="87" ht="15.75" customHeight="1">
      <c r="A87" s="25">
        <f t="shared" si="1"/>
        <v>15</v>
      </c>
      <c r="B87" s="25">
        <f t="shared" si="8"/>
        <v>15</v>
      </c>
      <c r="C87" s="26"/>
      <c r="D87" s="27"/>
      <c r="E87" s="28"/>
      <c r="F87" s="28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3" t="str">
        <f t="shared" si="9"/>
        <v>#REF!</v>
      </c>
      <c r="X87" s="47"/>
      <c r="Y87" s="47"/>
      <c r="Z87" s="48"/>
      <c r="AA87" s="1"/>
      <c r="AB87" s="1"/>
    </row>
    <row r="88" ht="15.75" customHeight="1">
      <c r="A88" s="25">
        <f t="shared" si="1"/>
        <v>15</v>
      </c>
      <c r="B88" s="25">
        <f t="shared" si="8"/>
        <v>15</v>
      </c>
      <c r="C88" s="26"/>
      <c r="D88" s="27"/>
      <c r="E88" s="28"/>
      <c r="F88" s="28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3" t="str">
        <f t="shared" si="9"/>
        <v>#REF!</v>
      </c>
      <c r="X88" s="47"/>
      <c r="Y88" s="47"/>
      <c r="Z88" s="48"/>
      <c r="AA88" s="1"/>
      <c r="AB88" s="1"/>
    </row>
    <row r="89" ht="15.75" customHeight="1">
      <c r="A89" s="25">
        <f t="shared" si="1"/>
        <v>15</v>
      </c>
      <c r="B89" s="25">
        <f t="shared" si="8"/>
        <v>15</v>
      </c>
      <c r="C89" s="26"/>
      <c r="D89" s="27"/>
      <c r="E89" s="28"/>
      <c r="F89" s="28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3" t="str">
        <f t="shared" si="9"/>
        <v>#REF!</v>
      </c>
      <c r="X89" s="47"/>
      <c r="Y89" s="47"/>
      <c r="Z89" s="48"/>
      <c r="AA89" s="1"/>
      <c r="AB89" s="1"/>
    </row>
    <row r="90" ht="15.75" customHeight="1">
      <c r="A90" s="25">
        <f t="shared" si="1"/>
        <v>15</v>
      </c>
      <c r="B90" s="25">
        <f t="shared" si="8"/>
        <v>15</v>
      </c>
      <c r="C90" s="26"/>
      <c r="D90" s="27"/>
      <c r="E90" s="28"/>
      <c r="F90" s="28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3" t="str">
        <f t="shared" si="9"/>
        <v>#REF!</v>
      </c>
      <c r="X90" s="47"/>
      <c r="Y90" s="47"/>
      <c r="Z90" s="48"/>
      <c r="AA90" s="1"/>
      <c r="AB90" s="1"/>
    </row>
    <row r="91" ht="15.75" customHeight="1">
      <c r="A91" s="25">
        <f t="shared" si="1"/>
        <v>15</v>
      </c>
      <c r="B91" s="25">
        <f t="shared" si="8"/>
        <v>15</v>
      </c>
      <c r="C91" s="26"/>
      <c r="D91" s="27"/>
      <c r="E91" s="28"/>
      <c r="F91" s="28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3" t="str">
        <f t="shared" si="9"/>
        <v>#REF!</v>
      </c>
      <c r="X91" s="47"/>
      <c r="Y91" s="47"/>
      <c r="Z91" s="48"/>
      <c r="AA91" s="1"/>
      <c r="AB91" s="1"/>
    </row>
    <row r="92" ht="15.75" customHeight="1">
      <c r="A92" s="25">
        <f t="shared" si="1"/>
        <v>15</v>
      </c>
      <c r="B92" s="25">
        <f t="shared" si="8"/>
        <v>15</v>
      </c>
      <c r="C92" s="26"/>
      <c r="D92" s="27"/>
      <c r="E92" s="28"/>
      <c r="F92" s="28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3" t="str">
        <f t="shared" si="9"/>
        <v>#REF!</v>
      </c>
      <c r="X92" s="47"/>
      <c r="Y92" s="47"/>
      <c r="Z92" s="48"/>
      <c r="AA92" s="1"/>
      <c r="AB92" s="1"/>
    </row>
    <row r="93" ht="15.75" customHeight="1">
      <c r="A93" s="25">
        <f t="shared" si="1"/>
        <v>15</v>
      </c>
      <c r="B93" s="25">
        <f t="shared" si="8"/>
        <v>15</v>
      </c>
      <c r="C93" s="26"/>
      <c r="D93" s="27"/>
      <c r="E93" s="28"/>
      <c r="F93" s="28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3" t="str">
        <f t="shared" si="9"/>
        <v>#REF!</v>
      </c>
      <c r="X93" s="47"/>
      <c r="Y93" s="47"/>
      <c r="Z93" s="48"/>
      <c r="AA93" s="1"/>
      <c r="AB93" s="1"/>
    </row>
    <row r="94" ht="15.75" customHeight="1">
      <c r="A94" s="25">
        <f t="shared" si="1"/>
        <v>15</v>
      </c>
      <c r="B94" s="25">
        <f t="shared" si="8"/>
        <v>15</v>
      </c>
      <c r="C94" s="26"/>
      <c r="D94" s="27"/>
      <c r="E94" s="28"/>
      <c r="F94" s="28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3" t="str">
        <f t="shared" si="9"/>
        <v>#REF!</v>
      </c>
      <c r="X94" s="47"/>
      <c r="Y94" s="47"/>
      <c r="Z94" s="48"/>
      <c r="AA94" s="1"/>
      <c r="AB94" s="1"/>
    </row>
    <row r="95" ht="15.75" customHeight="1">
      <c r="A95" s="25">
        <f t="shared" si="1"/>
        <v>15</v>
      </c>
      <c r="B95" s="25">
        <f t="shared" si="8"/>
        <v>15</v>
      </c>
      <c r="C95" s="26"/>
      <c r="D95" s="27"/>
      <c r="E95" s="28"/>
      <c r="F95" s="28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3" t="str">
        <f t="shared" si="9"/>
        <v>#REF!</v>
      </c>
      <c r="X95" s="47"/>
      <c r="Y95" s="47"/>
      <c r="Z95" s="48"/>
      <c r="AA95" s="1"/>
      <c r="AB95" s="1"/>
    </row>
    <row r="96" ht="15.75" customHeight="1">
      <c r="A96" s="25">
        <f t="shared" si="1"/>
        <v>15</v>
      </c>
      <c r="B96" s="25">
        <f t="shared" si="8"/>
        <v>15</v>
      </c>
      <c r="C96" s="26"/>
      <c r="D96" s="27"/>
      <c r="E96" s="28"/>
      <c r="F96" s="28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3" t="str">
        <f t="shared" si="9"/>
        <v>#REF!</v>
      </c>
      <c r="X96" s="47"/>
      <c r="Y96" s="47"/>
      <c r="Z96" s="48"/>
      <c r="AA96" s="1"/>
      <c r="AB96" s="1"/>
    </row>
    <row r="97" ht="15.75" customHeight="1">
      <c r="A97" s="25">
        <f t="shared" si="1"/>
        <v>15</v>
      </c>
      <c r="B97" s="25">
        <f t="shared" si="8"/>
        <v>15</v>
      </c>
      <c r="C97" s="26"/>
      <c r="D97" s="27"/>
      <c r="E97" s="28"/>
      <c r="F97" s="28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3" t="str">
        <f t="shared" si="9"/>
        <v>#REF!</v>
      </c>
      <c r="X97" s="47"/>
      <c r="Y97" s="47"/>
      <c r="Z97" s="48"/>
      <c r="AA97" s="1"/>
      <c r="AB97" s="1"/>
    </row>
    <row r="98" ht="15.75" customHeight="1">
      <c r="A98" s="25">
        <f t="shared" si="1"/>
        <v>15</v>
      </c>
      <c r="B98" s="25">
        <f t="shared" si="8"/>
        <v>15</v>
      </c>
      <c r="C98" s="26"/>
      <c r="D98" s="27"/>
      <c r="E98" s="28"/>
      <c r="F98" s="28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3" t="str">
        <f t="shared" si="9"/>
        <v>#REF!</v>
      </c>
      <c r="X98" s="47"/>
      <c r="Y98" s="47"/>
      <c r="Z98" s="48"/>
      <c r="AA98" s="1"/>
      <c r="AB98" s="1"/>
    </row>
    <row r="99" ht="15.75" customHeight="1">
      <c r="A99" s="69"/>
      <c r="B99" s="69"/>
      <c r="C99" s="2"/>
      <c r="D99" s="47"/>
      <c r="E99" s="70"/>
      <c r="F99" s="70"/>
      <c r="G99" s="70"/>
      <c r="H99" s="70"/>
      <c r="I99" s="44"/>
      <c r="J99" s="71" t="s">
        <v>229</v>
      </c>
      <c r="K99" s="72">
        <f t="shared" ref="K99:L99" si="10">SUM(COUNTIF(K3:K98,"A") + COUNTIF(K3:K98,"T") + (COUNTIF(K3:K98,"O")/2))</f>
        <v>26</v>
      </c>
      <c r="L99" s="72">
        <f t="shared" si="10"/>
        <v>26</v>
      </c>
      <c r="M99" s="72">
        <f>(COUNTIF(M3:M98,"O"))</f>
        <v>7</v>
      </c>
      <c r="N99" s="72">
        <f t="shared" ref="N99:O99" si="11">SUM(COUNTIF(N3:N98,"A") + COUNTIF(N3:N98,"T") + (COUNTIF(N3:N98,"O")/2))</f>
        <v>19</v>
      </c>
      <c r="O99" s="72">
        <f t="shared" si="11"/>
        <v>28</v>
      </c>
      <c r="P99" s="72">
        <f>(COUNTIF(P3:P98,"O"))</f>
        <v>12</v>
      </c>
      <c r="Q99" s="72">
        <f t="shared" ref="Q99:R99" si="12">SUM(COUNTIF(Q3:Q98,"A") + COUNTIF(Q3:Q98,"T") + (COUNTIF(Q3:Q98,"O")/2))</f>
        <v>27</v>
      </c>
      <c r="R99" s="72">
        <f t="shared" si="12"/>
        <v>29</v>
      </c>
      <c r="S99" s="72">
        <f>(COUNTIF(S3:S98,"O"))</f>
        <v>6</v>
      </c>
      <c r="T99" s="72">
        <f>SUM(COUNTIF(T3:T98,"A") + COUNTIF(T3:T98,"T") + (COUNTIF(T3:T98,"O")/2))</f>
        <v>25</v>
      </c>
      <c r="U99" s="72">
        <f>(COUNTIF(U3:U98,"O"))</f>
        <v>0</v>
      </c>
      <c r="V99" s="72">
        <f>SUM(COUNTIF(V3:V98,"A") + COUNTIF(V3:V98,"T") + (COUNTIF(V3:V98,"O")/2))</f>
        <v>25</v>
      </c>
      <c r="W99" s="73">
        <f t="shared" ref="W99:W102" si="14">AVERAGE(K99,L99,N99,O99,Q99,R99,T99,V99)</f>
        <v>25.625</v>
      </c>
      <c r="X99" s="74" t="s">
        <v>230</v>
      </c>
      <c r="Y99" s="42"/>
      <c r="Z99" s="47"/>
      <c r="AA99" s="47"/>
      <c r="AB99" s="47"/>
    </row>
    <row r="100" ht="15.75" customHeight="1">
      <c r="A100" s="69"/>
      <c r="B100" s="69"/>
      <c r="C100" s="2"/>
      <c r="D100" s="47"/>
      <c r="E100" s="70"/>
      <c r="F100" s="70"/>
      <c r="G100" s="70"/>
      <c r="H100" s="70"/>
      <c r="I100" s="44"/>
      <c r="J100" s="75" t="s">
        <v>231</v>
      </c>
      <c r="K100" s="76">
        <f t="shared" ref="K100:V100" si="13">SUM(COUNTIF(K3:K98,"J"))</f>
        <v>12</v>
      </c>
      <c r="L100" s="76">
        <f t="shared" si="13"/>
        <v>13</v>
      </c>
      <c r="M100" s="76">
        <f t="shared" si="13"/>
        <v>0</v>
      </c>
      <c r="N100" s="76">
        <f t="shared" si="13"/>
        <v>15</v>
      </c>
      <c r="O100" s="76">
        <f t="shared" si="13"/>
        <v>10</v>
      </c>
      <c r="P100" s="76">
        <f t="shared" si="13"/>
        <v>0</v>
      </c>
      <c r="Q100" s="76">
        <f t="shared" si="13"/>
        <v>9</v>
      </c>
      <c r="R100" s="76">
        <f t="shared" si="13"/>
        <v>8</v>
      </c>
      <c r="S100" s="76">
        <f t="shared" si="13"/>
        <v>0</v>
      </c>
      <c r="T100" s="76">
        <f t="shared" si="13"/>
        <v>14</v>
      </c>
      <c r="U100" s="76">
        <f t="shared" si="13"/>
        <v>0</v>
      </c>
      <c r="V100" s="76">
        <f t="shared" si="13"/>
        <v>13</v>
      </c>
      <c r="W100" s="77">
        <f t="shared" si="14"/>
        <v>11.75</v>
      </c>
      <c r="X100" s="74" t="s">
        <v>232</v>
      </c>
      <c r="Y100" s="42"/>
      <c r="Z100" s="47"/>
      <c r="AA100" s="47"/>
      <c r="AB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70"/>
      <c r="I101" s="44"/>
      <c r="J101" s="78" t="s">
        <v>233</v>
      </c>
      <c r="K101" s="79">
        <f t="shared" ref="K101:V101" si="15">SUM(COUNTIF(K3:K98,"F"))</f>
        <v>2</v>
      </c>
      <c r="L101" s="79">
        <f t="shared" si="15"/>
        <v>0</v>
      </c>
      <c r="M101" s="79">
        <f t="shared" si="15"/>
        <v>0</v>
      </c>
      <c r="N101" s="79">
        <f t="shared" si="15"/>
        <v>2</v>
      </c>
      <c r="O101" s="79">
        <f t="shared" si="15"/>
        <v>0</v>
      </c>
      <c r="P101" s="79">
        <f t="shared" si="15"/>
        <v>0</v>
      </c>
      <c r="Q101" s="79">
        <f t="shared" si="15"/>
        <v>1</v>
      </c>
      <c r="R101" s="79">
        <f t="shared" si="15"/>
        <v>0</v>
      </c>
      <c r="S101" s="79">
        <f t="shared" si="15"/>
        <v>0</v>
      </c>
      <c r="T101" s="79">
        <f t="shared" si="15"/>
        <v>1</v>
      </c>
      <c r="U101" s="79">
        <f t="shared" si="15"/>
        <v>0</v>
      </c>
      <c r="V101" s="79">
        <f t="shared" si="15"/>
        <v>0</v>
      </c>
      <c r="W101" s="80">
        <f t="shared" si="14"/>
        <v>0.75</v>
      </c>
      <c r="X101" s="81" t="s">
        <v>234</v>
      </c>
      <c r="Y101" s="5"/>
      <c r="Z101" s="47"/>
      <c r="AA101" s="47"/>
      <c r="AB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70"/>
      <c r="I102" s="44"/>
      <c r="J102" s="82" t="s">
        <v>235</v>
      </c>
      <c r="K102" s="84">
        <f t="shared" ref="K102:L102" si="16">(COUNTIF(K3:K98,"A") + COUNTIF(K3:K98,"T") + COUNTIF(K3:K98,"F") + COUNTIF(K3:K98,"J"))</f>
        <v>40</v>
      </c>
      <c r="L102" s="84">
        <f t="shared" si="16"/>
        <v>39</v>
      </c>
      <c r="M102" s="83"/>
      <c r="N102" s="84">
        <f t="shared" ref="N102:O102" si="17">(COUNTIF(N3:N98,"A") + COUNTIF(N3:N98,"T") + COUNTIF(N3:N98,"F") + COUNTIF(N3:N98,"J"))</f>
        <v>36</v>
      </c>
      <c r="O102" s="84">
        <f t="shared" si="17"/>
        <v>38</v>
      </c>
      <c r="P102" s="83"/>
      <c r="Q102" s="84">
        <f t="shared" ref="Q102:R102" si="18">(COUNTIF(Q3:Q98,"A") + COUNTIF(Q3:Q98,"T") + COUNTIF(Q3:Q98,"F") + COUNTIF(Q3:Q98,"J"))</f>
        <v>37</v>
      </c>
      <c r="R102" s="84">
        <f t="shared" si="18"/>
        <v>37</v>
      </c>
      <c r="S102" s="83"/>
      <c r="T102" s="84">
        <f>(COUNTIF(T3:T98,"A") + COUNTIF(T3:T98,"T") + COUNTIF(T3:T98,"F") + COUNTIF(T3:T98,"J"))</f>
        <v>40</v>
      </c>
      <c r="U102" s="83"/>
      <c r="V102" s="84">
        <f>(COUNTIF(V3:V98,"A") + COUNTIF(V3:V98,"T") + COUNTIF(V3:V98,"F") + COUNTIF(V3:V98,"J"))</f>
        <v>38</v>
      </c>
      <c r="W102" s="95">
        <f t="shared" si="14"/>
        <v>38.125</v>
      </c>
      <c r="X102" s="81" t="s">
        <v>236</v>
      </c>
      <c r="Y102" s="5"/>
      <c r="Z102" s="47"/>
      <c r="AA102" s="47"/>
      <c r="AB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V$98"/>
  <mergeCells count="31">
    <mergeCell ref="C1:I1"/>
    <mergeCell ref="K1:U1"/>
    <mergeCell ref="X1:Y1"/>
    <mergeCell ref="Z1:AB1"/>
    <mergeCell ref="Y3:AB3"/>
    <mergeCell ref="Y4:AB4"/>
    <mergeCell ref="Y5:AB5"/>
    <mergeCell ref="Y6:AB6"/>
    <mergeCell ref="Y7:AB7"/>
    <mergeCell ref="Y8:AB8"/>
    <mergeCell ref="Y9:AB9"/>
    <mergeCell ref="Y10:AB10"/>
    <mergeCell ref="X42:Y42"/>
    <mergeCell ref="AA42:AB42"/>
    <mergeCell ref="X50:Y50"/>
    <mergeCell ref="X51:Y51"/>
    <mergeCell ref="X52:Y52"/>
    <mergeCell ref="X53:Y53"/>
    <mergeCell ref="X54:Y54"/>
    <mergeCell ref="X55:Y55"/>
    <mergeCell ref="X56:Y56"/>
    <mergeCell ref="X59:AB59"/>
    <mergeCell ref="X101:Y101"/>
    <mergeCell ref="X102:Y102"/>
    <mergeCell ref="X43:Y43"/>
    <mergeCell ref="X44:Y44"/>
    <mergeCell ref="X45:Y45"/>
    <mergeCell ref="X46:Y46"/>
    <mergeCell ref="X47:Y47"/>
    <mergeCell ref="X48:Y48"/>
    <mergeCell ref="X49:Y49"/>
  </mergeCells>
  <conditionalFormatting sqref="H68:H73 K68:W73">
    <cfRule type="cellIs" dxfId="0" priority="1" operator="equal">
      <formula>"NP"</formula>
    </cfRule>
  </conditionalFormatting>
  <conditionalFormatting sqref="H3:H98 K3:O98 P3:P61 Q3:T98 U3:U6 V3:V98 X3:X10 U13:U14 U18:U98 P63:P98">
    <cfRule type="cellIs" dxfId="0" priority="2" operator="equal">
      <formula>"NP"</formula>
    </cfRule>
  </conditionalFormatting>
  <conditionalFormatting sqref="AA44:AB45 AA48">
    <cfRule type="containsText" dxfId="1" priority="3" operator="containsText" text="Si">
      <formula>NOT(ISERROR(SEARCH(("Si"),(AA44))))</formula>
    </cfRule>
  </conditionalFormatting>
  <conditionalFormatting sqref="H3:H98 K3:O98 P3:P61 Q3:T98 U3:U6 V3:V98 X3:X10 U13:U14 U18:U98 P63:P98 W68:W73">
    <cfRule type="containsText" dxfId="2" priority="4" operator="containsText" text="A">
      <formula>NOT(ISERROR(SEARCH(("A"),(H3))))</formula>
    </cfRule>
  </conditionalFormatting>
  <conditionalFormatting sqref="H3:H98 K3:O98 P3:P61 Q3:T98 U3:U6 V3:V98 X3:X10 U13:U14 U18:U98 P63:P98 W68:W73">
    <cfRule type="containsText" dxfId="3" priority="5" operator="containsText" text="F">
      <formula>NOT(ISERROR(SEARCH(("F"),(H3))))</formula>
    </cfRule>
  </conditionalFormatting>
  <conditionalFormatting sqref="H3:H98 K3:O98 P3:P61 Q3:T98 U3:U6 V3:V98 X3:X10 U13:U14 U18:U98 P63:P98 W68:W73">
    <cfRule type="containsText" dxfId="4" priority="6" operator="containsText" text="J">
      <formula>NOT(ISERROR(SEARCH(("J"),(H3))))</formula>
    </cfRule>
  </conditionalFormatting>
  <conditionalFormatting sqref="H3:H98 K3:O98 P3:P61 Q3:T98 U3:U6 V3:V98 X3:X10 U13:U14 U18:U98 P63:P98 W68:W73">
    <cfRule type="containsText" dxfId="5" priority="7" operator="containsText" text="R">
      <formula>NOT(ISERROR(SEARCH(("R"),(H3))))</formula>
    </cfRule>
  </conditionalFormatting>
  <conditionalFormatting sqref="H3:H98 K3:O98 P3:P61 Q3:T98 U3:U6 V3:V98 X3:X10 U13:U14 U18:U98 P63:P98 W68:W73">
    <cfRule type="containsText" dxfId="6" priority="8" operator="containsText" text="L">
      <formula>NOT(ISERROR(SEARCH(("L"),(H3))))</formula>
    </cfRule>
  </conditionalFormatting>
  <conditionalFormatting sqref="Z24:Z25 Z44:Z56 Z67:Z98">
    <cfRule type="expression" dxfId="7" priority="9">
      <formula>AND(ISNUMBER(Z24),TRUNC(Z24)&lt;TODAY())</formula>
    </cfRule>
  </conditionalFormatting>
  <conditionalFormatting sqref="Z24:Z25 Z44:Z56 Z67:Z98">
    <cfRule type="expression" dxfId="8" priority="10">
      <formula>AND(ISNUMBER(Z24),TRUNC(Z24)&gt;TODAY())</formula>
    </cfRule>
  </conditionalFormatting>
  <conditionalFormatting sqref="Z24:Z25 Z44:Z56 Z67:Z98">
    <cfRule type="timePeriod" dxfId="9" priority="11" timePeriod="today"/>
  </conditionalFormatting>
  <conditionalFormatting sqref="AA24:AB24 AA44:AB56 AA67:AB98">
    <cfRule type="containsText" dxfId="7" priority="12" operator="containsText" text="No">
      <formula>NOT(ISERROR(SEARCH(("No"),(AA24))))</formula>
    </cfRule>
  </conditionalFormatting>
  <conditionalFormatting sqref="H3:H98 K3:O98 P3:P61 Q3:T98 U3:U6 V3:V98 X3:X10 U13:U14 U18:U98 P63:P98 W68:W73">
    <cfRule type="containsText" dxfId="10" priority="13" operator="containsText" text="T">
      <formula>NOT(ISERROR(SEARCH(("T"),(H3))))</formula>
    </cfRule>
  </conditionalFormatting>
  <conditionalFormatting sqref="AA24:AB24 AA44:AB56 AA67:AB98">
    <cfRule type="containsText" dxfId="1" priority="14" operator="containsText" text="Sí">
      <formula>NOT(ISERROR(SEARCH(("Sí"),(AA24))))</formula>
    </cfRule>
  </conditionalFormatting>
  <conditionalFormatting sqref="H3:H98 K3:O98 P3:P61 Q3:T98 U3:U6 V3:V98 X3:X10 U13:U14 U18:U98 P63:P98 W68:W73">
    <cfRule type="containsText" dxfId="11" priority="15" operator="containsText" text="O">
      <formula>NOT(ISERROR(SEARCH(("O"),(H3))))</formula>
    </cfRule>
  </conditionalFormatting>
  <conditionalFormatting sqref="K102:V102">
    <cfRule type="cellIs" dxfId="1" priority="16" operator="equal">
      <formula>"OK"</formula>
    </cfRule>
  </conditionalFormatting>
  <conditionalFormatting sqref="K102:V102">
    <cfRule type="cellIs" dxfId="7" priority="17" operator="equal">
      <formula>"NO"</formula>
    </cfRule>
  </conditionalFormatting>
  <conditionalFormatting sqref="W3:W98">
    <cfRule type="cellIs" dxfId="2" priority="18" operator="greaterThanOrEqual">
      <formula>"75%"</formula>
    </cfRule>
  </conditionalFormatting>
  <conditionalFormatting sqref="W3:W98">
    <cfRule type="cellIs" dxfId="12" priority="19" operator="lessThan">
      <formula>"50%"</formula>
    </cfRule>
  </conditionalFormatting>
  <conditionalFormatting sqref="H3:H98 K3:O98 P3:P61 Q3:T98 U3:U6 V3:V98 U13:U14 U18:U98 P63:P98">
    <cfRule type="expression" dxfId="13" priority="20">
      <formula>LEN(TRIM(H3))=0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K3:V6 K7:T12 V7:V12 K13:V14 K15:T17 V15:V17 K18:V63 K64:O64 Q64:V64 K65:V98">
      <formula1>"A,J,T,F,O,L,R,NP"</formula1>
    </dataValidation>
  </dataValidations>
  <hyperlinks>
    <hyperlink display="Licencia - ver Licencias" location="Julio!X42:AB56" ref="Y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43"/>
    <col customWidth="1" min="4" max="4" width="12.86"/>
    <col customWidth="1" min="5" max="6" width="6.86"/>
    <col customWidth="1" min="7" max="7" width="4.29"/>
    <col customWidth="1" min="8" max="8" width="13.29"/>
    <col customWidth="1" min="9" max="9" width="10.86"/>
    <col customWidth="1" min="10" max="20" width="5.86"/>
    <col customWidth="1" min="21" max="21" width="6.14"/>
    <col customWidth="1" min="22" max="22" width="5.43"/>
    <col customWidth="1" min="23" max="23" width="15.0"/>
    <col customWidth="1" min="24" max="24" width="9.43"/>
    <col customWidth="1" min="25" max="25" width="10.43"/>
    <col customWidth="1" min="26" max="26" width="22.0"/>
    <col customWidth="1" min="27" max="27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1"/>
      <c r="J1" s="6" t="s">
        <v>252</v>
      </c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9">
        <v>8.0</v>
      </c>
      <c r="W1" s="10" t="s">
        <v>6</v>
      </c>
      <c r="X1" s="5"/>
      <c r="Y1" s="44"/>
      <c r="Z1" s="90" t="s">
        <v>253</v>
      </c>
      <c r="AA1" s="91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/>
      <c r="H2" s="17" t="s">
        <v>14</v>
      </c>
      <c r="I2" s="17" t="s">
        <v>15</v>
      </c>
      <c r="J2" s="19">
        <v>43254.0</v>
      </c>
      <c r="K2" s="18">
        <v>43256.0</v>
      </c>
      <c r="L2" s="18">
        <v>43258.0</v>
      </c>
      <c r="M2" s="19">
        <v>43261.0</v>
      </c>
      <c r="N2" s="18">
        <v>43263.0</v>
      </c>
      <c r="O2" s="18">
        <v>43265.0</v>
      </c>
      <c r="P2" s="19">
        <v>43267.0</v>
      </c>
      <c r="Q2" s="18">
        <v>43270.0</v>
      </c>
      <c r="R2" s="18">
        <v>43272.0</v>
      </c>
      <c r="S2" s="19">
        <v>43275.0</v>
      </c>
      <c r="T2" s="20">
        <v>43277.0</v>
      </c>
      <c r="U2" s="18">
        <v>43279.0</v>
      </c>
      <c r="V2" s="21" t="s">
        <v>16</v>
      </c>
      <c r="W2" s="22"/>
      <c r="X2" s="22"/>
      <c r="Y2" s="23"/>
      <c r="Z2" s="24"/>
      <c r="AA2" s="22"/>
    </row>
    <row r="3" ht="15.75" customHeight="1">
      <c r="A3" s="25">
        <f t="shared" ref="A3:A98" si="1">IF(H3="ALTM",1,IF(H3="1° P",2,IF(H3="1° P - 1°M",3,IF(H3="1° P - 2°M",4,IF(H3="2° P",5,IF(H3="2° P - 3°M",6,IF(H3="2° P - 4°M",7,IF(H3="1° PP",8,IF(H3="1° PP - 1°Pa",9,IF(H3="1° PP - 2°Pa",10,IF(H3="Espectro",11,IF(H3="Caballeria",12,IF(H3="FAZR",13,15)))))))))))))</f>
        <v>1</v>
      </c>
      <c r="B3" s="25">
        <f t="shared" ref="B3:B46" si="2">IF(C3="Cap.",1,IF(C3="Tte.",2,IF(C3="Alf.",3,IF(C3="SgtM.",4,IF(C3="Sgt1.",5,IF(C3="Sgt.",6,IF(C3="Cbo1.",7,IF(C3="Cbo.",8,IF(C3="Dis.",9,IF(C3="Inf.",10,IF(C3="Rct.",11,15)))))))))))</f>
        <v>2</v>
      </c>
      <c r="C3" s="26" t="s">
        <v>240</v>
      </c>
      <c r="D3" s="27" t="s">
        <v>18</v>
      </c>
      <c r="E3" s="28" t="s">
        <v>19</v>
      </c>
      <c r="F3" s="28"/>
      <c r="G3" s="29" t="s">
        <v>20</v>
      </c>
      <c r="H3" s="31" t="s">
        <v>22</v>
      </c>
      <c r="I3" s="32" t="s">
        <v>23</v>
      </c>
      <c r="J3" s="30" t="s">
        <v>37</v>
      </c>
      <c r="K3" s="30" t="s">
        <v>37</v>
      </c>
      <c r="L3" s="30" t="s">
        <v>37</v>
      </c>
      <c r="M3" s="30" t="s">
        <v>37</v>
      </c>
      <c r="N3" s="30" t="s">
        <v>37</v>
      </c>
      <c r="O3" s="30" t="s">
        <v>37</v>
      </c>
      <c r="P3" s="30" t="s">
        <v>37</v>
      </c>
      <c r="Q3" s="30" t="s">
        <v>37</v>
      </c>
      <c r="R3" s="30" t="s">
        <v>37</v>
      </c>
      <c r="S3" s="30" t="s">
        <v>37</v>
      </c>
      <c r="T3" s="30" t="s">
        <v>37</v>
      </c>
      <c r="U3" s="30" t="s">
        <v>37</v>
      </c>
      <c r="V3" s="33" t="str">
        <f t="shared" ref="V3:V98" si="3">SUM( (COUNTIF(J3,"A") + (COUNTIF(J3,"T")/2) + (COUNTIF(J3,"O")/2) )+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(COUNTIF(#REF!,"A") + (COUNTIF(#REF!,"T")/2) + (COUNTIF(#REF!,"O")/2) )+ (COUNTIF(#REF!,"A") + (COUNTIF(#REF!,"T")/2) + (COUNTIF(#REF!,"O")/2) ) )/$V$1</f>
        <v>#REF!</v>
      </c>
      <c r="W3" s="34" t="s">
        <v>21</v>
      </c>
      <c r="X3" s="35" t="s">
        <v>25</v>
      </c>
      <c r="Y3" s="36"/>
      <c r="Z3" s="36"/>
      <c r="AA3" s="37"/>
    </row>
    <row r="4" ht="15.75" customHeight="1">
      <c r="A4" s="25">
        <f t="shared" si="1"/>
        <v>1</v>
      </c>
      <c r="B4" s="25">
        <f t="shared" si="2"/>
        <v>1</v>
      </c>
      <c r="C4" s="26" t="s">
        <v>17</v>
      </c>
      <c r="D4" s="27" t="s">
        <v>35</v>
      </c>
      <c r="E4" s="28" t="s">
        <v>19</v>
      </c>
      <c r="F4" s="28"/>
      <c r="G4" s="29" t="s">
        <v>20</v>
      </c>
      <c r="H4" s="31" t="s">
        <v>22</v>
      </c>
      <c r="I4" s="32" t="s">
        <v>101</v>
      </c>
      <c r="J4" s="30" t="s">
        <v>30</v>
      </c>
      <c r="K4" s="30" t="s">
        <v>30</v>
      </c>
      <c r="L4" s="30" t="s">
        <v>30</v>
      </c>
      <c r="M4" s="30" t="s">
        <v>30</v>
      </c>
      <c r="N4" s="30" t="s">
        <v>30</v>
      </c>
      <c r="O4" s="30" t="s">
        <v>30</v>
      </c>
      <c r="P4" s="30" t="s">
        <v>30</v>
      </c>
      <c r="Q4" s="30" t="s">
        <v>30</v>
      </c>
      <c r="R4" s="30" t="s">
        <v>30</v>
      </c>
      <c r="S4" s="30" t="s">
        <v>30</v>
      </c>
      <c r="T4" s="30" t="s">
        <v>30</v>
      </c>
      <c r="U4" s="30" t="s">
        <v>30</v>
      </c>
      <c r="V4" s="33" t="str">
        <f t="shared" si="3"/>
        <v>#REF!</v>
      </c>
      <c r="W4" s="30" t="s">
        <v>33</v>
      </c>
      <c r="X4" s="38" t="s">
        <v>34</v>
      </c>
      <c r="Y4" s="4"/>
      <c r="Z4" s="4"/>
      <c r="AA4" s="5"/>
    </row>
    <row r="5" ht="15.75" customHeight="1">
      <c r="A5" s="25">
        <f t="shared" si="1"/>
        <v>1</v>
      </c>
      <c r="B5" s="25">
        <f t="shared" si="2"/>
        <v>1</v>
      </c>
      <c r="C5" s="26" t="s">
        <v>17</v>
      </c>
      <c r="D5" s="27" t="s">
        <v>32</v>
      </c>
      <c r="E5" s="28" t="s">
        <v>19</v>
      </c>
      <c r="F5" s="28"/>
      <c r="G5" s="29" t="s">
        <v>20</v>
      </c>
      <c r="H5" s="31" t="s">
        <v>22</v>
      </c>
      <c r="I5" s="32" t="s">
        <v>101</v>
      </c>
      <c r="J5" s="30" t="s">
        <v>30</v>
      </c>
      <c r="K5" s="30" t="s">
        <v>30</v>
      </c>
      <c r="L5" s="30" t="s">
        <v>30</v>
      </c>
      <c r="M5" s="30" t="s">
        <v>30</v>
      </c>
      <c r="N5" s="30" t="s">
        <v>30</v>
      </c>
      <c r="O5" s="30" t="s">
        <v>30</v>
      </c>
      <c r="P5" s="30" t="s">
        <v>30</v>
      </c>
      <c r="Q5" s="30" t="s">
        <v>30</v>
      </c>
      <c r="R5" s="30" t="s">
        <v>30</v>
      </c>
      <c r="S5" s="30" t="s">
        <v>30</v>
      </c>
      <c r="T5" s="30" t="s">
        <v>30</v>
      </c>
      <c r="U5" s="30" t="s">
        <v>30</v>
      </c>
      <c r="V5" s="33" t="str">
        <f t="shared" si="3"/>
        <v>#REF!</v>
      </c>
      <c r="W5" s="30" t="s">
        <v>24</v>
      </c>
      <c r="X5" s="38" t="s">
        <v>36</v>
      </c>
      <c r="Y5" s="4"/>
      <c r="Z5" s="4"/>
      <c r="AA5" s="5"/>
    </row>
    <row r="6" ht="15.75" customHeight="1">
      <c r="A6" s="25">
        <f t="shared" si="1"/>
        <v>1</v>
      </c>
      <c r="B6" s="25">
        <f t="shared" si="2"/>
        <v>3</v>
      </c>
      <c r="C6" s="26" t="s">
        <v>26</v>
      </c>
      <c r="D6" s="27" t="s">
        <v>27</v>
      </c>
      <c r="E6" s="28" t="s">
        <v>28</v>
      </c>
      <c r="F6" s="28" t="s">
        <v>29</v>
      </c>
      <c r="G6" s="29" t="s">
        <v>20</v>
      </c>
      <c r="H6" s="31" t="s">
        <v>22</v>
      </c>
      <c r="I6" s="32" t="s">
        <v>101</v>
      </c>
      <c r="J6" s="30" t="s">
        <v>30</v>
      </c>
      <c r="K6" s="30" t="s">
        <v>30</v>
      </c>
      <c r="L6" s="30" t="s">
        <v>30</v>
      </c>
      <c r="M6" s="30" t="s">
        <v>30</v>
      </c>
      <c r="N6" s="30" t="s">
        <v>30</v>
      </c>
      <c r="O6" s="30" t="s">
        <v>30</v>
      </c>
      <c r="P6" s="30" t="s">
        <v>30</v>
      </c>
      <c r="Q6" s="30" t="s">
        <v>30</v>
      </c>
      <c r="R6" s="30" t="s">
        <v>30</v>
      </c>
      <c r="S6" s="30" t="s">
        <v>30</v>
      </c>
      <c r="T6" s="30" t="s">
        <v>30</v>
      </c>
      <c r="U6" s="30" t="s">
        <v>30</v>
      </c>
      <c r="V6" s="33" t="str">
        <f t="shared" si="3"/>
        <v>#REF!</v>
      </c>
      <c r="W6" s="30" t="s">
        <v>37</v>
      </c>
      <c r="X6" s="40" t="s">
        <v>44</v>
      </c>
      <c r="Y6" s="4"/>
      <c r="Z6" s="4"/>
      <c r="AA6" s="5"/>
    </row>
    <row r="7" ht="15.75" customHeight="1">
      <c r="A7" s="25">
        <f t="shared" si="1"/>
        <v>2</v>
      </c>
      <c r="B7" s="25">
        <f t="shared" si="2"/>
        <v>5</v>
      </c>
      <c r="C7" s="26" t="s">
        <v>184</v>
      </c>
      <c r="D7" s="27" t="s">
        <v>40</v>
      </c>
      <c r="E7" s="28" t="s">
        <v>41</v>
      </c>
      <c r="F7" s="28"/>
      <c r="G7" s="29" t="s">
        <v>20</v>
      </c>
      <c r="H7" s="31" t="s">
        <v>42</v>
      </c>
      <c r="I7" s="32" t="s">
        <v>43</v>
      </c>
      <c r="J7" s="30"/>
      <c r="K7" s="30" t="s">
        <v>21</v>
      </c>
      <c r="L7" s="30" t="s">
        <v>21</v>
      </c>
      <c r="M7" s="30"/>
      <c r="N7" s="30" t="s">
        <v>21</v>
      </c>
      <c r="O7" s="30" t="s">
        <v>21</v>
      </c>
      <c r="P7" s="30"/>
      <c r="Q7" s="30" t="s">
        <v>24</v>
      </c>
      <c r="R7" s="30" t="s">
        <v>21</v>
      </c>
      <c r="S7" s="30"/>
      <c r="T7" s="30" t="s">
        <v>24</v>
      </c>
      <c r="U7" s="30" t="s">
        <v>21</v>
      </c>
      <c r="V7" s="33" t="str">
        <f t="shared" si="3"/>
        <v>#REF!</v>
      </c>
      <c r="W7" s="30" t="s">
        <v>30</v>
      </c>
      <c r="X7" s="38" t="s">
        <v>45</v>
      </c>
      <c r="Y7" s="4"/>
      <c r="Z7" s="4"/>
      <c r="AA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100</v>
      </c>
      <c r="E8" s="28" t="s">
        <v>41</v>
      </c>
      <c r="F8" s="28" t="s">
        <v>28</v>
      </c>
      <c r="G8" s="29" t="s">
        <v>20</v>
      </c>
      <c r="H8" s="31" t="s">
        <v>50</v>
      </c>
      <c r="I8" s="32" t="s">
        <v>51</v>
      </c>
      <c r="J8" s="30"/>
      <c r="K8" s="30" t="s">
        <v>24</v>
      </c>
      <c r="L8" s="30" t="s">
        <v>21</v>
      </c>
      <c r="M8" s="30"/>
      <c r="N8" s="30" t="s">
        <v>24</v>
      </c>
      <c r="O8" s="30" t="s">
        <v>21</v>
      </c>
      <c r="P8" s="30" t="s">
        <v>58</v>
      </c>
      <c r="Q8" s="30" t="s">
        <v>21</v>
      </c>
      <c r="R8" s="30" t="s">
        <v>24</v>
      </c>
      <c r="S8" s="30" t="s">
        <v>58</v>
      </c>
      <c r="T8" s="30" t="s">
        <v>21</v>
      </c>
      <c r="U8" s="30" t="s">
        <v>24</v>
      </c>
      <c r="V8" s="33" t="str">
        <f t="shared" si="3"/>
        <v>#REF!</v>
      </c>
      <c r="W8" s="30" t="s">
        <v>52</v>
      </c>
      <c r="X8" s="38" t="s">
        <v>53</v>
      </c>
      <c r="Y8" s="4"/>
      <c r="Z8" s="4"/>
      <c r="AA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47</v>
      </c>
      <c r="E9" s="28" t="s">
        <v>41</v>
      </c>
      <c r="F9" s="28" t="s">
        <v>48</v>
      </c>
      <c r="G9" s="29" t="s">
        <v>49</v>
      </c>
      <c r="H9" s="31" t="s">
        <v>50</v>
      </c>
      <c r="I9" s="32" t="s">
        <v>57</v>
      </c>
      <c r="J9" s="30" t="s">
        <v>58</v>
      </c>
      <c r="K9" s="30" t="s">
        <v>21</v>
      </c>
      <c r="L9" s="30" t="s">
        <v>21</v>
      </c>
      <c r="M9" s="30"/>
      <c r="N9" s="30" t="s">
        <v>21</v>
      </c>
      <c r="O9" s="30" t="s">
        <v>21</v>
      </c>
      <c r="P9" s="30"/>
      <c r="Q9" s="30" t="s">
        <v>21</v>
      </c>
      <c r="R9" s="30" t="s">
        <v>21</v>
      </c>
      <c r="S9" s="30"/>
      <c r="T9" s="30" t="s">
        <v>21</v>
      </c>
      <c r="U9" s="30" t="s">
        <v>21</v>
      </c>
      <c r="V9" s="33" t="str">
        <f t="shared" si="3"/>
        <v>#REF!</v>
      </c>
      <c r="W9" s="30" t="s">
        <v>58</v>
      </c>
      <c r="X9" s="38" t="s">
        <v>59</v>
      </c>
      <c r="Y9" s="4"/>
      <c r="Z9" s="4"/>
      <c r="AA9" s="5"/>
    </row>
    <row r="10" ht="15.75" customHeight="1">
      <c r="A10" s="25">
        <f t="shared" si="1"/>
        <v>3</v>
      </c>
      <c r="B10" s="25">
        <f t="shared" si="2"/>
        <v>9</v>
      </c>
      <c r="C10" s="26" t="s">
        <v>64</v>
      </c>
      <c r="D10" s="27" t="s">
        <v>121</v>
      </c>
      <c r="E10" s="28" t="s">
        <v>41</v>
      </c>
      <c r="F10" s="28" t="s">
        <v>19</v>
      </c>
      <c r="G10" s="29" t="s">
        <v>49</v>
      </c>
      <c r="H10" s="31" t="s">
        <v>50</v>
      </c>
      <c r="I10" s="32" t="s">
        <v>63</v>
      </c>
      <c r="J10" s="30"/>
      <c r="K10" s="30" t="s">
        <v>21</v>
      </c>
      <c r="L10" s="30" t="s">
        <v>24</v>
      </c>
      <c r="M10" s="30"/>
      <c r="N10" s="30" t="s">
        <v>21</v>
      </c>
      <c r="O10" s="30" t="s">
        <v>21</v>
      </c>
      <c r="P10" s="30"/>
      <c r="Q10" s="30" t="s">
        <v>21</v>
      </c>
      <c r="R10" s="30" t="s">
        <v>24</v>
      </c>
      <c r="S10" s="30"/>
      <c r="T10" s="30" t="s">
        <v>21</v>
      </c>
      <c r="U10" s="30" t="s">
        <v>24</v>
      </c>
      <c r="V10" s="33" t="str">
        <f t="shared" si="3"/>
        <v>#REF!</v>
      </c>
      <c r="W10" s="30" t="s">
        <v>65</v>
      </c>
      <c r="X10" s="38" t="s">
        <v>66</v>
      </c>
      <c r="Y10" s="4"/>
      <c r="Z10" s="4"/>
      <c r="AA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56</v>
      </c>
      <c r="F11" s="28" t="s">
        <v>19</v>
      </c>
      <c r="G11" s="29" t="s">
        <v>20</v>
      </c>
      <c r="H11" s="31" t="s">
        <v>50</v>
      </c>
      <c r="I11" s="32" t="s">
        <v>68</v>
      </c>
      <c r="J11" s="30"/>
      <c r="K11" s="30" t="s">
        <v>33</v>
      </c>
      <c r="L11" s="30" t="s">
        <v>21</v>
      </c>
      <c r="M11" s="30"/>
      <c r="N11" s="30" t="s">
        <v>24</v>
      </c>
      <c r="O11" s="30" t="s">
        <v>21</v>
      </c>
      <c r="P11" s="30"/>
      <c r="Q11" s="30" t="s">
        <v>24</v>
      </c>
      <c r="R11" s="30" t="s">
        <v>21</v>
      </c>
      <c r="S11" s="30"/>
      <c r="T11" s="30" t="s">
        <v>24</v>
      </c>
      <c r="U11" s="30" t="s">
        <v>21</v>
      </c>
      <c r="V11" s="33" t="str">
        <f t="shared" si="3"/>
        <v>#REF!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84</v>
      </c>
      <c r="D12" s="27" t="s">
        <v>55</v>
      </c>
      <c r="E12" s="28" t="s">
        <v>41</v>
      </c>
      <c r="F12" s="28" t="s">
        <v>56</v>
      </c>
      <c r="G12" s="29" t="s">
        <v>49</v>
      </c>
      <c r="H12" s="31" t="s">
        <v>50</v>
      </c>
      <c r="I12" s="32" t="s">
        <v>68</v>
      </c>
      <c r="J12" s="30" t="s">
        <v>58</v>
      </c>
      <c r="K12" s="30" t="s">
        <v>21</v>
      </c>
      <c r="L12" s="30" t="s">
        <v>21</v>
      </c>
      <c r="M12" s="30"/>
      <c r="N12" s="30" t="s">
        <v>21</v>
      </c>
      <c r="O12" s="30" t="s">
        <v>21</v>
      </c>
      <c r="P12" s="30"/>
      <c r="Q12" s="30" t="s">
        <v>21</v>
      </c>
      <c r="R12" s="30" t="s">
        <v>21</v>
      </c>
      <c r="S12" s="30"/>
      <c r="T12" s="30" t="s">
        <v>21</v>
      </c>
      <c r="U12" s="30" t="s">
        <v>21</v>
      </c>
      <c r="V12" s="33" t="str">
        <f t="shared" si="3"/>
        <v>#REF!</v>
      </c>
      <c r="W12" s="43" t="s">
        <v>72</v>
      </c>
      <c r="X12" s="43" t="s">
        <v>73</v>
      </c>
      <c r="Y12" s="44"/>
      <c r="Z12" s="43" t="s">
        <v>74</v>
      </c>
      <c r="AA12" s="43" t="s">
        <v>73</v>
      </c>
    </row>
    <row r="13" ht="15.75" customHeight="1">
      <c r="A13" s="25">
        <f t="shared" si="1"/>
        <v>3</v>
      </c>
      <c r="B13" s="25">
        <f t="shared" si="2"/>
        <v>10</v>
      </c>
      <c r="C13" s="26" t="s">
        <v>84</v>
      </c>
      <c r="D13" s="27" t="s">
        <v>69</v>
      </c>
      <c r="E13" s="28" t="s">
        <v>19</v>
      </c>
      <c r="F13" s="28" t="s">
        <v>70</v>
      </c>
      <c r="G13" s="29" t="s">
        <v>71</v>
      </c>
      <c r="H13" s="31" t="s">
        <v>50</v>
      </c>
      <c r="I13" s="32" t="s">
        <v>68</v>
      </c>
      <c r="J13" s="30" t="s">
        <v>58</v>
      </c>
      <c r="K13" s="30" t="s">
        <v>21</v>
      </c>
      <c r="L13" s="30" t="s">
        <v>21</v>
      </c>
      <c r="M13" s="30" t="s">
        <v>58</v>
      </c>
      <c r="N13" s="30" t="s">
        <v>21</v>
      </c>
      <c r="O13" s="30" t="s">
        <v>21</v>
      </c>
      <c r="P13" s="30"/>
      <c r="Q13" s="30" t="s">
        <v>21</v>
      </c>
      <c r="R13" s="30" t="s">
        <v>24</v>
      </c>
      <c r="S13" s="30" t="s">
        <v>58</v>
      </c>
      <c r="T13" s="30" t="s">
        <v>21</v>
      </c>
      <c r="U13" s="30" t="s">
        <v>24</v>
      </c>
      <c r="V13" s="33" t="str">
        <f t="shared" si="3"/>
        <v>#REF!</v>
      </c>
      <c r="W13" s="45" t="s">
        <v>77</v>
      </c>
      <c r="X13" s="46">
        <f>COUNTIF(H3:H98,"1° P - 1°M")</f>
        <v>11</v>
      </c>
      <c r="Y13" s="44"/>
      <c r="Z13" s="45" t="s">
        <v>78</v>
      </c>
      <c r="AA13" s="46">
        <f>COUNTIF(C3:C98,"Rct.")</f>
        <v>15</v>
      </c>
    </row>
    <row r="14" ht="15.75" customHeight="1">
      <c r="A14" s="25">
        <f t="shared" si="1"/>
        <v>3</v>
      </c>
      <c r="B14" s="25">
        <f t="shared" si="2"/>
        <v>10</v>
      </c>
      <c r="C14" s="26" t="s">
        <v>84</v>
      </c>
      <c r="D14" s="27" t="s">
        <v>203</v>
      </c>
      <c r="E14" s="28" t="s">
        <v>61</v>
      </c>
      <c r="F14" s="28" t="s">
        <v>19</v>
      </c>
      <c r="G14" s="29" t="s">
        <v>71</v>
      </c>
      <c r="H14" s="31" t="s">
        <v>50</v>
      </c>
      <c r="I14" s="32" t="s">
        <v>68</v>
      </c>
      <c r="J14" s="30" t="s">
        <v>58</v>
      </c>
      <c r="K14" s="30" t="s">
        <v>21</v>
      </c>
      <c r="L14" s="30" t="s">
        <v>21</v>
      </c>
      <c r="M14" s="30"/>
      <c r="N14" s="30" t="s">
        <v>24</v>
      </c>
      <c r="O14" s="30" t="s">
        <v>24</v>
      </c>
      <c r="P14" s="30"/>
      <c r="Q14" s="30" t="s">
        <v>21</v>
      </c>
      <c r="R14" s="30" t="s">
        <v>21</v>
      </c>
      <c r="S14" s="30"/>
      <c r="T14" s="30" t="s">
        <v>24</v>
      </c>
      <c r="U14" s="30" t="s">
        <v>24</v>
      </c>
      <c r="V14" s="33" t="str">
        <f t="shared" si="3"/>
        <v>#REF!</v>
      </c>
      <c r="W14" s="45" t="s">
        <v>81</v>
      </c>
      <c r="X14" s="46">
        <f>COUNTIF(H3:H98,"1° P - 2°M")</f>
        <v>11</v>
      </c>
      <c r="Y14" s="44"/>
      <c r="Z14" s="45" t="s">
        <v>82</v>
      </c>
      <c r="AA14" s="46">
        <f>COUNTIF(C3:C98,"Inf.")</f>
        <v>13</v>
      </c>
    </row>
    <row r="15" ht="15.75" customHeight="1">
      <c r="A15" s="25">
        <f t="shared" si="1"/>
        <v>3</v>
      </c>
      <c r="B15" s="25">
        <f t="shared" si="2"/>
        <v>11</v>
      </c>
      <c r="C15" s="26" t="s">
        <v>79</v>
      </c>
      <c r="D15" s="27" t="s">
        <v>109</v>
      </c>
      <c r="E15" s="28" t="s">
        <v>19</v>
      </c>
      <c r="F15" s="28"/>
      <c r="G15" s="29" t="s">
        <v>20</v>
      </c>
      <c r="H15" s="31" t="s">
        <v>50</v>
      </c>
      <c r="I15" s="32" t="s">
        <v>68</v>
      </c>
      <c r="J15" s="42"/>
      <c r="K15" s="42" t="s">
        <v>21</v>
      </c>
      <c r="L15" s="42" t="s">
        <v>21</v>
      </c>
      <c r="M15" s="42"/>
      <c r="N15" s="42" t="s">
        <v>21</v>
      </c>
      <c r="O15" s="42" t="s">
        <v>24</v>
      </c>
      <c r="P15" s="42"/>
      <c r="Q15" s="42" t="s">
        <v>24</v>
      </c>
      <c r="R15" s="42" t="s">
        <v>24</v>
      </c>
      <c r="S15" s="42"/>
      <c r="T15" s="42" t="s">
        <v>33</v>
      </c>
      <c r="U15" s="42" t="s">
        <v>24</v>
      </c>
      <c r="V15" s="33" t="str">
        <f t="shared" si="3"/>
        <v>#REF!</v>
      </c>
      <c r="W15" s="45" t="s">
        <v>86</v>
      </c>
      <c r="X15" s="46">
        <f>COUNTIF(H3:H98,"1° PP - 1°Pa")</f>
        <v>6</v>
      </c>
      <c r="Y15" s="44"/>
      <c r="Z15" s="45" t="s">
        <v>87</v>
      </c>
      <c r="AA15" s="46">
        <f>COUNTIF(C3:C98,"Dis.")</f>
        <v>18</v>
      </c>
    </row>
    <row r="16" ht="15.75" customHeight="1">
      <c r="A16" s="25">
        <f t="shared" si="1"/>
        <v>3</v>
      </c>
      <c r="B16" s="25">
        <f t="shared" si="2"/>
        <v>11</v>
      </c>
      <c r="C16" s="26" t="s">
        <v>79</v>
      </c>
      <c r="D16" s="27" t="s">
        <v>258</v>
      </c>
      <c r="E16" s="28" t="s">
        <v>19</v>
      </c>
      <c r="F16" s="28"/>
      <c r="G16" s="29" t="s">
        <v>259</v>
      </c>
      <c r="H16" s="31" t="s">
        <v>50</v>
      </c>
      <c r="I16" s="32" t="s">
        <v>68</v>
      </c>
      <c r="J16" s="42"/>
      <c r="K16" s="42" t="s">
        <v>24</v>
      </c>
      <c r="L16" s="42" t="s">
        <v>21</v>
      </c>
      <c r="M16" s="42"/>
      <c r="N16" s="42" t="s">
        <v>21</v>
      </c>
      <c r="O16" s="42" t="s">
        <v>21</v>
      </c>
      <c r="P16" s="42"/>
      <c r="Q16" s="42" t="s">
        <v>21</v>
      </c>
      <c r="R16" s="42" t="s">
        <v>21</v>
      </c>
      <c r="S16" s="42"/>
      <c r="T16" s="42" t="s">
        <v>21</v>
      </c>
      <c r="U16" s="42" t="s">
        <v>21</v>
      </c>
      <c r="V16" s="33" t="str">
        <f t="shared" si="3"/>
        <v>#REF!</v>
      </c>
      <c r="W16" s="45" t="s">
        <v>89</v>
      </c>
      <c r="X16" s="46">
        <f>COUNTIF(H3:H98,"Espectro")</f>
        <v>2</v>
      </c>
      <c r="Y16" s="44"/>
      <c r="Z16" s="45" t="s">
        <v>90</v>
      </c>
      <c r="AA16" s="46">
        <f>COUNTIF(C3:C98,"Cbo.")</f>
        <v>7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84</v>
      </c>
      <c r="D17" s="27" t="s">
        <v>88</v>
      </c>
      <c r="E17" s="28" t="s">
        <v>19</v>
      </c>
      <c r="F17" s="28"/>
      <c r="G17" s="29" t="s">
        <v>62</v>
      </c>
      <c r="H17" s="31" t="s">
        <v>50</v>
      </c>
      <c r="I17" s="32" t="s">
        <v>85</v>
      </c>
      <c r="J17" s="30"/>
      <c r="K17" s="30" t="s">
        <v>24</v>
      </c>
      <c r="L17" s="30" t="s">
        <v>24</v>
      </c>
      <c r="M17" s="30"/>
      <c r="N17" s="30" t="s">
        <v>21</v>
      </c>
      <c r="O17" s="30" t="s">
        <v>21</v>
      </c>
      <c r="P17" s="30"/>
      <c r="Q17" s="30" t="s">
        <v>21</v>
      </c>
      <c r="R17" s="30" t="s">
        <v>52</v>
      </c>
      <c r="S17" s="30"/>
      <c r="T17" s="30" t="s">
        <v>24</v>
      </c>
      <c r="U17" s="30" t="s">
        <v>24</v>
      </c>
      <c r="V17" s="33" t="str">
        <f t="shared" si="3"/>
        <v>#REF!</v>
      </c>
      <c r="W17" s="45" t="s">
        <v>92</v>
      </c>
      <c r="X17" s="46">
        <f>COUNTIF(H3:H98,"Caballeria")</f>
        <v>5</v>
      </c>
      <c r="Y17" s="44"/>
      <c r="Z17" s="45" t="s">
        <v>93</v>
      </c>
      <c r="AA17" s="46">
        <f>COUNTIF(C3:C98,"Cbo1.")</f>
        <v>8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79</v>
      </c>
      <c r="D18" s="27" t="s">
        <v>94</v>
      </c>
      <c r="E18" s="28" t="s">
        <v>19</v>
      </c>
      <c r="F18" s="28"/>
      <c r="G18" s="29" t="s">
        <v>49</v>
      </c>
      <c r="H18" s="31" t="s">
        <v>50</v>
      </c>
      <c r="I18" s="32" t="s">
        <v>85</v>
      </c>
      <c r="J18" s="42" t="s">
        <v>58</v>
      </c>
      <c r="K18" s="42" t="s">
        <v>21</v>
      </c>
      <c r="L18" s="42" t="s">
        <v>21</v>
      </c>
      <c r="M18" s="42" t="s">
        <v>58</v>
      </c>
      <c r="N18" s="42" t="s">
        <v>24</v>
      </c>
      <c r="O18" s="42" t="s">
        <v>21</v>
      </c>
      <c r="P18" s="42" t="s">
        <v>58</v>
      </c>
      <c r="Q18" s="42" t="s">
        <v>24</v>
      </c>
      <c r="R18" s="42" t="s">
        <v>21</v>
      </c>
      <c r="S18" s="42" t="s">
        <v>58</v>
      </c>
      <c r="T18" s="42" t="s">
        <v>21</v>
      </c>
      <c r="U18" s="42" t="s">
        <v>21</v>
      </c>
      <c r="V18" s="33" t="str">
        <f t="shared" si="3"/>
        <v>#REF!</v>
      </c>
      <c r="W18" s="45" t="s">
        <v>95</v>
      </c>
      <c r="X18" s="46">
        <f>COUNTIF(H3:H98,"FAZR")</f>
        <v>5</v>
      </c>
      <c r="Y18" s="44"/>
      <c r="Z18" s="45" t="s">
        <v>96</v>
      </c>
      <c r="AA18" s="46">
        <f>COUNTIF(C3:C98,"Sgt.")</f>
        <v>2</v>
      </c>
    </row>
    <row r="19" ht="15.75" customHeight="1">
      <c r="A19" s="25">
        <f t="shared" si="1"/>
        <v>4</v>
      </c>
      <c r="B19" s="25">
        <f t="shared" si="2"/>
        <v>7</v>
      </c>
      <c r="C19" s="26" t="s">
        <v>46</v>
      </c>
      <c r="D19" s="27" t="s">
        <v>114</v>
      </c>
      <c r="E19" s="28" t="s">
        <v>48</v>
      </c>
      <c r="F19" s="28" t="s">
        <v>76</v>
      </c>
      <c r="G19" s="29" t="s">
        <v>20</v>
      </c>
      <c r="H19" s="31" t="s">
        <v>115</v>
      </c>
      <c r="I19" s="32" t="s">
        <v>51</v>
      </c>
      <c r="J19" s="30" t="s">
        <v>37</v>
      </c>
      <c r="K19" s="30" t="s">
        <v>37</v>
      </c>
      <c r="L19" s="30" t="s">
        <v>37</v>
      </c>
      <c r="M19" s="30" t="s">
        <v>37</v>
      </c>
      <c r="N19" s="30" t="s">
        <v>37</v>
      </c>
      <c r="O19" s="30" t="s">
        <v>37</v>
      </c>
      <c r="P19" s="30" t="s">
        <v>37</v>
      </c>
      <c r="Q19" s="30" t="s">
        <v>37</v>
      </c>
      <c r="R19" s="30" t="s">
        <v>37</v>
      </c>
      <c r="S19" s="30" t="s">
        <v>37</v>
      </c>
      <c r="T19" s="30" t="s">
        <v>21</v>
      </c>
      <c r="U19" s="30" t="s">
        <v>21</v>
      </c>
      <c r="V19" s="33" t="str">
        <f t="shared" si="3"/>
        <v>#REF!</v>
      </c>
      <c r="W19" s="45" t="s">
        <v>98</v>
      </c>
      <c r="X19" s="46">
        <v>12.0</v>
      </c>
      <c r="Y19" s="44"/>
      <c r="Z19" s="45" t="s">
        <v>99</v>
      </c>
      <c r="AA19" s="46">
        <f>COUNTIF(C3:C98,"Sgt1.")</f>
        <v>1</v>
      </c>
    </row>
    <row r="20" ht="15.75" customHeight="1">
      <c r="A20" s="25">
        <f t="shared" si="1"/>
        <v>4</v>
      </c>
      <c r="B20" s="25">
        <f t="shared" si="2"/>
        <v>8</v>
      </c>
      <c r="C20" s="26" t="s">
        <v>54</v>
      </c>
      <c r="D20" s="27" t="s">
        <v>118</v>
      </c>
      <c r="E20" s="28" t="s">
        <v>76</v>
      </c>
      <c r="F20" s="28" t="s">
        <v>28</v>
      </c>
      <c r="G20" s="29" t="s">
        <v>62</v>
      </c>
      <c r="H20" s="31" t="s">
        <v>115</v>
      </c>
      <c r="I20" s="32" t="s">
        <v>57</v>
      </c>
      <c r="J20" s="30"/>
      <c r="K20" s="30" t="s">
        <v>21</v>
      </c>
      <c r="L20" s="30" t="s">
        <v>24</v>
      </c>
      <c r="M20" s="30"/>
      <c r="N20" s="30" t="s">
        <v>21</v>
      </c>
      <c r="O20" s="30" t="s">
        <v>21</v>
      </c>
      <c r="P20" s="30"/>
      <c r="Q20" s="30" t="s">
        <v>24</v>
      </c>
      <c r="R20" s="30" t="s">
        <v>21</v>
      </c>
      <c r="S20" s="30"/>
      <c r="T20" s="30" t="s">
        <v>21</v>
      </c>
      <c r="U20" s="30" t="s">
        <v>21</v>
      </c>
      <c r="V20" s="33" t="str">
        <f t="shared" si="3"/>
        <v>#REF!</v>
      </c>
      <c r="W20" s="45" t="s">
        <v>101</v>
      </c>
      <c r="X20" s="46">
        <f>COUNTIF(I3:I98,"Reserva")</f>
        <v>22</v>
      </c>
      <c r="Y20" s="44"/>
      <c r="Z20" s="45" t="s">
        <v>102</v>
      </c>
      <c r="AA20" s="46">
        <f>COUNTIF(C3:C98,"SgtM.")</f>
        <v>0</v>
      </c>
    </row>
    <row r="21" ht="15.75" customHeight="1">
      <c r="A21" s="25">
        <f t="shared" si="1"/>
        <v>4</v>
      </c>
      <c r="B21" s="25">
        <f t="shared" si="2"/>
        <v>9</v>
      </c>
      <c r="C21" s="26" t="s">
        <v>64</v>
      </c>
      <c r="D21" s="27" t="s">
        <v>248</v>
      </c>
      <c r="E21" s="28" t="s">
        <v>41</v>
      </c>
      <c r="F21" s="28" t="s">
        <v>48</v>
      </c>
      <c r="G21" s="29" t="s">
        <v>227</v>
      </c>
      <c r="H21" s="31" t="s">
        <v>115</v>
      </c>
      <c r="I21" s="32" t="s">
        <v>68</v>
      </c>
      <c r="J21" s="30" t="s">
        <v>58</v>
      </c>
      <c r="K21" s="30" t="s">
        <v>21</v>
      </c>
      <c r="L21" s="30" t="s">
        <v>24</v>
      </c>
      <c r="M21" s="30"/>
      <c r="N21" s="30" t="s">
        <v>24</v>
      </c>
      <c r="O21" s="30" t="s">
        <v>24</v>
      </c>
      <c r="P21" s="30"/>
      <c r="Q21" s="30" t="s">
        <v>21</v>
      </c>
      <c r="R21" s="30" t="s">
        <v>24</v>
      </c>
      <c r="S21" s="30"/>
      <c r="T21" s="30" t="s">
        <v>24</v>
      </c>
      <c r="U21" s="30" t="s">
        <v>24</v>
      </c>
      <c r="V21" s="33" t="str">
        <f t="shared" si="3"/>
        <v>#REF!</v>
      </c>
      <c r="W21" s="45" t="s">
        <v>38</v>
      </c>
      <c r="X21" s="46">
        <f>COUNTIF(I3:I98,"Licencia")</f>
        <v>1</v>
      </c>
      <c r="Y21" s="44"/>
      <c r="Z21" s="45" t="s">
        <v>104</v>
      </c>
      <c r="AA21" s="46">
        <f>COUNTIF(C3:C98,"Tte.")</f>
        <v>1</v>
      </c>
    </row>
    <row r="22" ht="15.75" customHeight="1">
      <c r="A22" s="25">
        <f t="shared" si="1"/>
        <v>4</v>
      </c>
      <c r="B22" s="25">
        <f t="shared" si="2"/>
        <v>9</v>
      </c>
      <c r="C22" s="26" t="s">
        <v>64</v>
      </c>
      <c r="D22" s="27" t="s">
        <v>138</v>
      </c>
      <c r="E22" s="28" t="s">
        <v>61</v>
      </c>
      <c r="F22" s="28"/>
      <c r="G22" s="29" t="s">
        <v>62</v>
      </c>
      <c r="H22" s="31" t="s">
        <v>115</v>
      </c>
      <c r="I22" s="32" t="s">
        <v>68</v>
      </c>
      <c r="J22" s="30"/>
      <c r="K22" s="30" t="s">
        <v>21</v>
      </c>
      <c r="L22" s="30" t="s">
        <v>21</v>
      </c>
      <c r="M22" s="30"/>
      <c r="N22" s="30" t="s">
        <v>21</v>
      </c>
      <c r="O22" s="30" t="s">
        <v>24</v>
      </c>
      <c r="P22" s="30"/>
      <c r="Q22" s="30" t="s">
        <v>21</v>
      </c>
      <c r="R22" s="30" t="s">
        <v>21</v>
      </c>
      <c r="S22" s="30"/>
      <c r="T22" s="30" t="s">
        <v>21</v>
      </c>
      <c r="U22" s="30" t="s">
        <v>21</v>
      </c>
      <c r="V22" s="33" t="str">
        <f t="shared" si="3"/>
        <v>#REF!</v>
      </c>
      <c r="W22" s="45"/>
      <c r="X22" s="46"/>
      <c r="Y22" s="44"/>
      <c r="Z22" s="45" t="s">
        <v>106</v>
      </c>
      <c r="AA22" s="46">
        <f>COUNTIF(C3:C98,"Alf.")</f>
        <v>1</v>
      </c>
    </row>
    <row r="23" ht="15.75" customHeight="1">
      <c r="A23" s="25">
        <f t="shared" si="1"/>
        <v>4</v>
      </c>
      <c r="B23" s="25">
        <f t="shared" si="2"/>
        <v>9</v>
      </c>
      <c r="C23" s="26" t="s">
        <v>64</v>
      </c>
      <c r="D23" s="27" t="s">
        <v>217</v>
      </c>
      <c r="E23" s="28" t="s">
        <v>61</v>
      </c>
      <c r="F23" s="28" t="s">
        <v>70</v>
      </c>
      <c r="G23" s="29" t="s">
        <v>20</v>
      </c>
      <c r="H23" s="31" t="s">
        <v>115</v>
      </c>
      <c r="I23" s="32" t="s">
        <v>68</v>
      </c>
      <c r="J23" s="30" t="s">
        <v>30</v>
      </c>
      <c r="K23" s="30" t="s">
        <v>30</v>
      </c>
      <c r="L23" s="30" t="s">
        <v>30</v>
      </c>
      <c r="M23" s="30" t="s">
        <v>30</v>
      </c>
      <c r="N23" s="30" t="s">
        <v>30</v>
      </c>
      <c r="O23" s="30" t="s">
        <v>33</v>
      </c>
      <c r="P23" s="30"/>
      <c r="Q23" s="30" t="s">
        <v>33</v>
      </c>
      <c r="R23" s="30" t="s">
        <v>33</v>
      </c>
      <c r="S23" s="30"/>
      <c r="T23" s="30" t="s">
        <v>24</v>
      </c>
      <c r="U23" s="30" t="s">
        <v>21</v>
      </c>
      <c r="V23" s="33" t="str">
        <f t="shared" si="3"/>
        <v>#REF!</v>
      </c>
      <c r="W23" s="45"/>
      <c r="X23" s="46"/>
      <c r="Y23" s="44"/>
      <c r="Z23" s="45" t="s">
        <v>108</v>
      </c>
      <c r="AA23" s="46">
        <f>COUNTIF(C3:C98,"Cap.")</f>
        <v>2</v>
      </c>
    </row>
    <row r="24" ht="15.75" customHeight="1">
      <c r="A24" s="25">
        <f t="shared" si="1"/>
        <v>4</v>
      </c>
      <c r="B24" s="25">
        <f t="shared" si="2"/>
        <v>11</v>
      </c>
      <c r="C24" s="26" t="s">
        <v>79</v>
      </c>
      <c r="D24" s="27" t="s">
        <v>264</v>
      </c>
      <c r="E24" s="28" t="s">
        <v>19</v>
      </c>
      <c r="F24" s="28"/>
      <c r="G24" s="29" t="s">
        <v>49</v>
      </c>
      <c r="H24" s="31" t="s">
        <v>115</v>
      </c>
      <c r="I24" s="32" t="s">
        <v>68</v>
      </c>
      <c r="J24" s="30"/>
      <c r="K24" s="30" t="s">
        <v>21</v>
      </c>
      <c r="L24" s="30" t="s">
        <v>21</v>
      </c>
      <c r="M24" s="30"/>
      <c r="N24" s="30" t="s">
        <v>21</v>
      </c>
      <c r="O24" s="30" t="s">
        <v>21</v>
      </c>
      <c r="P24" s="30"/>
      <c r="Q24" s="30" t="s">
        <v>21</v>
      </c>
      <c r="R24" s="30" t="s">
        <v>21</v>
      </c>
      <c r="S24" s="30"/>
      <c r="T24" s="30" t="s">
        <v>33</v>
      </c>
      <c r="U24" s="30" t="s">
        <v>24</v>
      </c>
      <c r="V24" s="33" t="str">
        <f t="shared" si="3"/>
        <v>#REF!</v>
      </c>
      <c r="W24" s="47"/>
      <c r="X24" s="47"/>
      <c r="Y24" s="48"/>
      <c r="Z24" s="1"/>
      <c r="AA24" s="1"/>
    </row>
    <row r="25" ht="15.75" customHeight="1">
      <c r="A25" s="25">
        <f t="shared" si="1"/>
        <v>4</v>
      </c>
      <c r="B25" s="25">
        <f t="shared" si="2"/>
        <v>11</v>
      </c>
      <c r="C25" s="26" t="s">
        <v>79</v>
      </c>
      <c r="D25" s="27" t="s">
        <v>265</v>
      </c>
      <c r="E25" s="28" t="s">
        <v>19</v>
      </c>
      <c r="F25" s="28"/>
      <c r="G25" s="29" t="s">
        <v>259</v>
      </c>
      <c r="H25" s="31" t="s">
        <v>115</v>
      </c>
      <c r="I25" s="32" t="s">
        <v>68</v>
      </c>
      <c r="J25" s="42"/>
      <c r="K25" s="42" t="s">
        <v>24</v>
      </c>
      <c r="L25" s="42" t="s">
        <v>21</v>
      </c>
      <c r="M25" s="42"/>
      <c r="N25" s="42" t="s">
        <v>24</v>
      </c>
      <c r="O25" s="42" t="s">
        <v>21</v>
      </c>
      <c r="P25" s="42"/>
      <c r="Q25" s="42" t="s">
        <v>21</v>
      </c>
      <c r="R25" s="42" t="s">
        <v>21</v>
      </c>
      <c r="S25" s="42"/>
      <c r="T25" s="42" t="s">
        <v>21</v>
      </c>
      <c r="U25" s="42" t="s">
        <v>21</v>
      </c>
      <c r="V25" s="33" t="str">
        <f t="shared" si="3"/>
        <v>#REF!</v>
      </c>
      <c r="W25" s="43" t="s">
        <v>116</v>
      </c>
      <c r="X25" s="43" t="s">
        <v>73</v>
      </c>
      <c r="Y25" s="48"/>
      <c r="Z25" s="43" t="s">
        <v>117</v>
      </c>
      <c r="AA25" s="43" t="s">
        <v>73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79</v>
      </c>
      <c r="D26" s="27" t="s">
        <v>266</v>
      </c>
      <c r="E26" s="28" t="s">
        <v>19</v>
      </c>
      <c r="F26" s="28"/>
      <c r="G26" s="29" t="s">
        <v>49</v>
      </c>
      <c r="H26" s="31" t="s">
        <v>115</v>
      </c>
      <c r="I26" s="32" t="s">
        <v>68</v>
      </c>
      <c r="J26" s="42"/>
      <c r="K26" s="42" t="s">
        <v>24</v>
      </c>
      <c r="L26" s="42" t="s">
        <v>21</v>
      </c>
      <c r="M26" s="42"/>
      <c r="N26" s="42" t="s">
        <v>21</v>
      </c>
      <c r="O26" s="42" t="s">
        <v>24</v>
      </c>
      <c r="P26" s="42" t="s">
        <v>58</v>
      </c>
      <c r="Q26" s="42" t="s">
        <v>24</v>
      </c>
      <c r="R26" s="42" t="s">
        <v>24</v>
      </c>
      <c r="S26" s="42"/>
      <c r="T26" s="42" t="s">
        <v>21</v>
      </c>
      <c r="U26" s="42" t="s">
        <v>24</v>
      </c>
      <c r="V26" s="33" t="str">
        <f t="shared" si="3"/>
        <v>#REF!</v>
      </c>
      <c r="W26" s="45" t="s">
        <v>119</v>
      </c>
      <c r="X26" s="46">
        <f>COUNTIF(G3:G98, "Ar")</f>
        <v>12</v>
      </c>
      <c r="Y26" s="44"/>
      <c r="Z26" s="45" t="s">
        <v>120</v>
      </c>
      <c r="AA26" s="46">
        <f>COUNTIF(E3:E98,"AT")+COUNTIF(F3:F98,"AT")</f>
        <v>11</v>
      </c>
    </row>
    <row r="27" ht="15.75" customHeight="1">
      <c r="A27" s="25">
        <f t="shared" si="1"/>
        <v>4</v>
      </c>
      <c r="B27" s="25">
        <f t="shared" si="2"/>
        <v>10</v>
      </c>
      <c r="C27" s="26" t="s">
        <v>84</v>
      </c>
      <c r="D27" s="27" t="s">
        <v>124</v>
      </c>
      <c r="E27" s="28" t="s">
        <v>61</v>
      </c>
      <c r="F27" s="28" t="s">
        <v>19</v>
      </c>
      <c r="G27" s="29" t="s">
        <v>125</v>
      </c>
      <c r="H27" s="31" t="s">
        <v>115</v>
      </c>
      <c r="I27" s="32" t="s">
        <v>85</v>
      </c>
      <c r="J27" s="30" t="s">
        <v>58</v>
      </c>
      <c r="K27" s="30" t="s">
        <v>21</v>
      </c>
      <c r="L27" s="30" t="s">
        <v>21</v>
      </c>
      <c r="M27" s="30" t="s">
        <v>58</v>
      </c>
      <c r="N27" s="30" t="s">
        <v>21</v>
      </c>
      <c r="O27" s="30" t="s">
        <v>21</v>
      </c>
      <c r="P27" s="30"/>
      <c r="Q27" s="30" t="s">
        <v>21</v>
      </c>
      <c r="R27" s="30" t="s">
        <v>21</v>
      </c>
      <c r="S27" s="30" t="s">
        <v>58</v>
      </c>
      <c r="T27" s="30" t="s">
        <v>33</v>
      </c>
      <c r="U27" s="30" t="s">
        <v>21</v>
      </c>
      <c r="V27" s="33" t="str">
        <f t="shared" si="3"/>
        <v>#REF!</v>
      </c>
      <c r="W27" s="49" t="s">
        <v>122</v>
      </c>
      <c r="X27" s="46">
        <f>COUNTIF(G3:G98, "Ch")</f>
        <v>13</v>
      </c>
      <c r="Y27" s="44"/>
      <c r="Z27" s="49" t="s">
        <v>123</v>
      </c>
      <c r="AA27" s="46">
        <f>COUNTIF(E3:E98,"FL")+COUNTIF(F3:F98,"FL")</f>
        <v>38</v>
      </c>
    </row>
    <row r="28" ht="15.75" customHeight="1">
      <c r="A28" s="25">
        <f t="shared" si="1"/>
        <v>4</v>
      </c>
      <c r="B28" s="25">
        <f t="shared" si="2"/>
        <v>10</v>
      </c>
      <c r="C28" s="26" t="s">
        <v>84</v>
      </c>
      <c r="D28" s="27" t="s">
        <v>220</v>
      </c>
      <c r="E28" s="28" t="s">
        <v>19</v>
      </c>
      <c r="F28" s="28"/>
      <c r="G28" s="29" t="s">
        <v>49</v>
      </c>
      <c r="H28" s="31" t="s">
        <v>115</v>
      </c>
      <c r="I28" s="32" t="s">
        <v>85</v>
      </c>
      <c r="J28" s="30"/>
      <c r="K28" s="30" t="s">
        <v>21</v>
      </c>
      <c r="L28" s="30" t="s">
        <v>21</v>
      </c>
      <c r="M28" s="30" t="s">
        <v>58</v>
      </c>
      <c r="N28" s="30" t="s">
        <v>21</v>
      </c>
      <c r="O28" s="30" t="s">
        <v>24</v>
      </c>
      <c r="P28" s="30"/>
      <c r="Q28" s="30" t="s">
        <v>21</v>
      </c>
      <c r="R28" s="30" t="s">
        <v>21</v>
      </c>
      <c r="S28" s="30"/>
      <c r="T28" s="30" t="s">
        <v>21</v>
      </c>
      <c r="U28" s="30" t="s">
        <v>21</v>
      </c>
      <c r="V28" s="33" t="str">
        <f t="shared" si="3"/>
        <v>#REF!</v>
      </c>
      <c r="W28" s="49" t="s">
        <v>126</v>
      </c>
      <c r="X28" s="46">
        <f>COUNTIF(G3:G98, "Co")</f>
        <v>1</v>
      </c>
      <c r="Y28" s="44"/>
      <c r="Z28" s="49" t="s">
        <v>127</v>
      </c>
      <c r="AA28" s="46">
        <f>COUNTIF(E3:E98,"GL")+COUNTIF(F3:F98,"GL")</f>
        <v>8</v>
      </c>
    </row>
    <row r="29" ht="15.75" customHeight="1">
      <c r="A29" s="25">
        <f t="shared" si="1"/>
        <v>4</v>
      </c>
      <c r="B29" s="25">
        <f t="shared" si="2"/>
        <v>11</v>
      </c>
      <c r="C29" s="26" t="s">
        <v>79</v>
      </c>
      <c r="D29" s="27" t="s">
        <v>144</v>
      </c>
      <c r="E29" s="28" t="s">
        <v>19</v>
      </c>
      <c r="F29" s="28"/>
      <c r="G29" s="29" t="s">
        <v>145</v>
      </c>
      <c r="H29" s="31" t="s">
        <v>115</v>
      </c>
      <c r="I29" s="32" t="s">
        <v>85</v>
      </c>
      <c r="J29" s="42"/>
      <c r="K29" s="42" t="s">
        <v>21</v>
      </c>
      <c r="L29" s="42" t="s">
        <v>21</v>
      </c>
      <c r="M29" s="42"/>
      <c r="N29" s="42" t="s">
        <v>21</v>
      </c>
      <c r="O29" s="42" t="s">
        <v>24</v>
      </c>
      <c r="P29" s="42"/>
      <c r="Q29" s="42" t="s">
        <v>33</v>
      </c>
      <c r="R29" s="42" t="s">
        <v>21</v>
      </c>
      <c r="S29" s="42" t="s">
        <v>58</v>
      </c>
      <c r="T29" s="42" t="s">
        <v>33</v>
      </c>
      <c r="U29" s="42" t="s">
        <v>21</v>
      </c>
      <c r="V29" s="33" t="str">
        <f t="shared" si="3"/>
        <v>#REF!</v>
      </c>
      <c r="W29" s="49" t="s">
        <v>129</v>
      </c>
      <c r="X29" s="46">
        <f>COUNTIF(G3:G98, "CR")</f>
        <v>0</v>
      </c>
      <c r="Y29" s="44"/>
      <c r="Z29" s="49" t="s">
        <v>130</v>
      </c>
      <c r="AA29" s="46">
        <f>COUNTIF(E3:E98,"MC")+COUNTIF(F3:F98,"MC")</f>
        <v>19</v>
      </c>
    </row>
    <row r="30" ht="15.75" customHeight="1">
      <c r="A30" s="25">
        <f t="shared" si="1"/>
        <v>9</v>
      </c>
      <c r="B30" s="25">
        <f t="shared" si="2"/>
        <v>7</v>
      </c>
      <c r="C30" s="26" t="s">
        <v>46</v>
      </c>
      <c r="D30" s="27" t="s">
        <v>157</v>
      </c>
      <c r="E30" s="28" t="s">
        <v>48</v>
      </c>
      <c r="F30" s="28" t="s">
        <v>41</v>
      </c>
      <c r="G30" s="29" t="s">
        <v>20</v>
      </c>
      <c r="H30" s="31" t="s">
        <v>158</v>
      </c>
      <c r="I30" s="32" t="s">
        <v>51</v>
      </c>
      <c r="J30" s="30" t="s">
        <v>58</v>
      </c>
      <c r="K30" s="30" t="s">
        <v>21</v>
      </c>
      <c r="L30" s="30" t="s">
        <v>24</v>
      </c>
      <c r="M30" s="30" t="s">
        <v>58</v>
      </c>
      <c r="N30" s="30" t="s">
        <v>21</v>
      </c>
      <c r="O30" s="30" t="s">
        <v>24</v>
      </c>
      <c r="P30" s="30" t="s">
        <v>58</v>
      </c>
      <c r="Q30" s="30" t="s">
        <v>21</v>
      </c>
      <c r="R30" s="30" t="s">
        <v>21</v>
      </c>
      <c r="S30" s="30"/>
      <c r="T30" s="30" t="s">
        <v>21</v>
      </c>
      <c r="U30" s="30" t="s">
        <v>24</v>
      </c>
      <c r="V30" s="33" t="str">
        <f t="shared" si="3"/>
        <v>#REF!</v>
      </c>
      <c r="W30" s="49" t="s">
        <v>133</v>
      </c>
      <c r="X30" s="46">
        <f>COUNTIF(G3:G98, "ES")</f>
        <v>1</v>
      </c>
      <c r="Y30" s="44"/>
      <c r="Z30" s="49" t="s">
        <v>134</v>
      </c>
      <c r="AA30" s="46">
        <f>COUNTIF(E3:E98,"MG")+COUNTIF(F3:F98,"MG")</f>
        <v>13</v>
      </c>
    </row>
    <row r="31" ht="15.75" customHeight="1">
      <c r="A31" s="25">
        <f t="shared" si="1"/>
        <v>9</v>
      </c>
      <c r="B31" s="25">
        <f t="shared" si="2"/>
        <v>8</v>
      </c>
      <c r="C31" s="26" t="s">
        <v>54</v>
      </c>
      <c r="D31" s="27" t="s">
        <v>160</v>
      </c>
      <c r="E31" s="28" t="s">
        <v>61</v>
      </c>
      <c r="F31" s="28" t="s">
        <v>48</v>
      </c>
      <c r="G31" s="29" t="s">
        <v>149</v>
      </c>
      <c r="H31" s="31" t="s">
        <v>158</v>
      </c>
      <c r="I31" s="32" t="s">
        <v>57</v>
      </c>
      <c r="J31" s="30"/>
      <c r="K31" s="30" t="s">
        <v>24</v>
      </c>
      <c r="L31" s="30" t="s">
        <v>24</v>
      </c>
      <c r="M31" s="30"/>
      <c r="N31" s="30" t="s">
        <v>24</v>
      </c>
      <c r="O31" s="30" t="s">
        <v>21</v>
      </c>
      <c r="P31" s="30"/>
      <c r="Q31" s="30" t="s">
        <v>24</v>
      </c>
      <c r="R31" s="30" t="s">
        <v>21</v>
      </c>
      <c r="S31" s="30"/>
      <c r="T31" s="30" t="s">
        <v>24</v>
      </c>
      <c r="U31" s="30" t="s">
        <v>21</v>
      </c>
      <c r="V31" s="33" t="str">
        <f t="shared" si="3"/>
        <v>#REF!</v>
      </c>
      <c r="W31" s="49" t="s">
        <v>136</v>
      </c>
      <c r="X31" s="46">
        <f>COUNTIF(G3:G98, "Ja")</f>
        <v>1</v>
      </c>
      <c r="Y31" s="44"/>
      <c r="Z31" s="49" t="s">
        <v>137</v>
      </c>
      <c r="AA31" s="46">
        <f>COUNTIF(E3:E98,"OD")+COUNTIF(F3:F98,"OD")</f>
        <v>7</v>
      </c>
    </row>
    <row r="32" ht="15.75" customHeight="1">
      <c r="A32" s="25">
        <f t="shared" si="1"/>
        <v>9</v>
      </c>
      <c r="B32" s="25">
        <f t="shared" si="2"/>
        <v>8</v>
      </c>
      <c r="C32" s="26" t="s">
        <v>54</v>
      </c>
      <c r="D32" s="27" t="s">
        <v>162</v>
      </c>
      <c r="E32" s="28" t="s">
        <v>41</v>
      </c>
      <c r="F32" s="28" t="s">
        <v>28</v>
      </c>
      <c r="G32" s="29" t="s">
        <v>163</v>
      </c>
      <c r="H32" s="31" t="s">
        <v>158</v>
      </c>
      <c r="I32" s="32" t="s">
        <v>63</v>
      </c>
      <c r="J32" s="30" t="s">
        <v>58</v>
      </c>
      <c r="K32" s="30" t="s">
        <v>21</v>
      </c>
      <c r="L32" s="30" t="s">
        <v>21</v>
      </c>
      <c r="M32" s="30"/>
      <c r="N32" s="30" t="s">
        <v>24</v>
      </c>
      <c r="O32" s="30" t="s">
        <v>21</v>
      </c>
      <c r="P32" s="30"/>
      <c r="Q32" s="30" t="s">
        <v>21</v>
      </c>
      <c r="R32" s="30" t="s">
        <v>21</v>
      </c>
      <c r="S32" s="30"/>
      <c r="T32" s="30" t="s">
        <v>21</v>
      </c>
      <c r="U32" s="30" t="s">
        <v>21</v>
      </c>
      <c r="V32" s="33" t="str">
        <f t="shared" si="3"/>
        <v>#REF!</v>
      </c>
      <c r="W32" s="49" t="s">
        <v>139</v>
      </c>
      <c r="X32" s="46">
        <f>COUNTIF(G3:G98, "Me")</f>
        <v>8</v>
      </c>
      <c r="Y32" s="44"/>
      <c r="Z32" s="49" t="s">
        <v>140</v>
      </c>
      <c r="AA32" s="46">
        <f>COUNTIF(E3:E98,"RO")+COUNTIF(F3:F98,"RO")</f>
        <v>7</v>
      </c>
    </row>
    <row r="33" ht="15.75" customHeight="1">
      <c r="A33" s="25">
        <f t="shared" si="1"/>
        <v>9</v>
      </c>
      <c r="B33" s="25">
        <f t="shared" si="2"/>
        <v>9</v>
      </c>
      <c r="C33" s="26" t="s">
        <v>64</v>
      </c>
      <c r="D33" s="27" t="s">
        <v>208</v>
      </c>
      <c r="E33" s="28" t="s">
        <v>41</v>
      </c>
      <c r="F33" s="28" t="s">
        <v>56</v>
      </c>
      <c r="G33" s="29" t="s">
        <v>71</v>
      </c>
      <c r="H33" s="31" t="s">
        <v>158</v>
      </c>
      <c r="I33" s="32" t="s">
        <v>68</v>
      </c>
      <c r="J33" s="30"/>
      <c r="K33" s="30" t="s">
        <v>21</v>
      </c>
      <c r="L33" s="30" t="s">
        <v>21</v>
      </c>
      <c r="M33" s="30"/>
      <c r="N33" s="30" t="s">
        <v>24</v>
      </c>
      <c r="O33" s="30" t="s">
        <v>21</v>
      </c>
      <c r="P33" s="30"/>
      <c r="Q33" s="30" t="s">
        <v>24</v>
      </c>
      <c r="R33" s="30" t="s">
        <v>24</v>
      </c>
      <c r="S33" s="30"/>
      <c r="T33" s="30" t="s">
        <v>21</v>
      </c>
      <c r="U33" s="30" t="s">
        <v>21</v>
      </c>
      <c r="V33" s="33" t="str">
        <f t="shared" si="3"/>
        <v>#REF!</v>
      </c>
      <c r="W33" s="49" t="s">
        <v>142</v>
      </c>
      <c r="X33" s="46">
        <f>COUNTIF(G3:G98, "Pa")</f>
        <v>2</v>
      </c>
      <c r="Y33" s="44"/>
      <c r="Z33" s="49" t="s">
        <v>143</v>
      </c>
      <c r="AA33" s="46">
        <f>COUNTIF(E3:E98,"TE")+COUNTIF(F3:F98,"TE")</f>
        <v>6</v>
      </c>
    </row>
    <row r="34" ht="15.75" customHeight="1">
      <c r="A34" s="25">
        <f t="shared" si="1"/>
        <v>9</v>
      </c>
      <c r="B34" s="25">
        <f t="shared" si="2"/>
        <v>10</v>
      </c>
      <c r="C34" s="26" t="s">
        <v>84</v>
      </c>
      <c r="D34" s="27" t="s">
        <v>164</v>
      </c>
      <c r="E34" s="28" t="s">
        <v>41</v>
      </c>
      <c r="F34" s="28" t="s">
        <v>28</v>
      </c>
      <c r="G34" s="29" t="s">
        <v>20</v>
      </c>
      <c r="H34" s="31" t="s">
        <v>158</v>
      </c>
      <c r="I34" s="32" t="s">
        <v>68</v>
      </c>
      <c r="J34" s="30"/>
      <c r="K34" s="30" t="s">
        <v>21</v>
      </c>
      <c r="L34" s="30" t="s">
        <v>21</v>
      </c>
      <c r="M34" s="30"/>
      <c r="N34" s="30" t="s">
        <v>21</v>
      </c>
      <c r="O34" s="30" t="s">
        <v>21</v>
      </c>
      <c r="P34" s="30"/>
      <c r="Q34" s="30" t="s">
        <v>21</v>
      </c>
      <c r="R34" s="30" t="s">
        <v>21</v>
      </c>
      <c r="S34" s="30" t="s">
        <v>58</v>
      </c>
      <c r="T34" s="30" t="s">
        <v>21</v>
      </c>
      <c r="U34" s="30" t="s">
        <v>24</v>
      </c>
      <c r="V34" s="33" t="str">
        <f t="shared" si="3"/>
        <v>#REF!</v>
      </c>
      <c r="W34" s="49" t="s">
        <v>146</v>
      </c>
      <c r="X34" s="46">
        <f>COUNTIF(G3:G98, "Py")</f>
        <v>1</v>
      </c>
      <c r="Y34" s="44"/>
      <c r="Z34" s="49" t="s">
        <v>147</v>
      </c>
      <c r="AA34" s="46">
        <f>COUNTIF(E3:E98,"TS")+COUNTIF(F3:F98,"TS")</f>
        <v>1</v>
      </c>
    </row>
    <row r="35" ht="15.75" customHeight="1">
      <c r="A35" s="25">
        <f t="shared" si="1"/>
        <v>9</v>
      </c>
      <c r="B35" s="25">
        <f t="shared" si="2"/>
        <v>9</v>
      </c>
      <c r="C35" s="26" t="s">
        <v>64</v>
      </c>
      <c r="D35" s="27" t="s">
        <v>165</v>
      </c>
      <c r="E35" s="28" t="s">
        <v>61</v>
      </c>
      <c r="F35" s="28" t="s">
        <v>41</v>
      </c>
      <c r="G35" s="29" t="s">
        <v>71</v>
      </c>
      <c r="H35" s="31" t="s">
        <v>158</v>
      </c>
      <c r="I35" s="32" t="s">
        <v>85</v>
      </c>
      <c r="J35" s="30"/>
      <c r="K35" s="30" t="s">
        <v>21</v>
      </c>
      <c r="L35" s="30" t="s">
        <v>21</v>
      </c>
      <c r="M35" s="30"/>
      <c r="N35" s="30" t="s">
        <v>21</v>
      </c>
      <c r="O35" s="30" t="s">
        <v>21</v>
      </c>
      <c r="P35" s="30"/>
      <c r="Q35" s="30" t="s">
        <v>24</v>
      </c>
      <c r="R35" s="30" t="s">
        <v>21</v>
      </c>
      <c r="S35" s="30"/>
      <c r="T35" s="30" t="s">
        <v>21</v>
      </c>
      <c r="U35" s="30" t="s">
        <v>21</v>
      </c>
      <c r="V35" s="33" t="str">
        <f t="shared" si="3"/>
        <v>#REF!</v>
      </c>
      <c r="W35" s="49" t="s">
        <v>150</v>
      </c>
      <c r="X35" s="46">
        <f>COUNTIF(G3:G98, "Pe")</f>
        <v>3</v>
      </c>
      <c r="Y35" s="44"/>
      <c r="Z35" s="49"/>
      <c r="AA35" s="46"/>
    </row>
    <row r="36" ht="15.75" customHeight="1">
      <c r="A36" s="25">
        <f t="shared" si="1"/>
        <v>11</v>
      </c>
      <c r="B36" s="25">
        <f t="shared" si="2"/>
        <v>6</v>
      </c>
      <c r="C36" s="26" t="s">
        <v>113</v>
      </c>
      <c r="D36" s="27" t="s">
        <v>185</v>
      </c>
      <c r="E36" s="28" t="s">
        <v>70</v>
      </c>
      <c r="F36" s="28" t="s">
        <v>19</v>
      </c>
      <c r="G36" s="29" t="s">
        <v>71</v>
      </c>
      <c r="H36" s="31" t="s">
        <v>89</v>
      </c>
      <c r="I36" s="32" t="s">
        <v>68</v>
      </c>
      <c r="J36" s="30"/>
      <c r="K36" s="30" t="s">
        <v>21</v>
      </c>
      <c r="L36" s="30" t="s">
        <v>21</v>
      </c>
      <c r="M36" s="30"/>
      <c r="N36" s="30" t="s">
        <v>21</v>
      </c>
      <c r="O36" s="30" t="s">
        <v>21</v>
      </c>
      <c r="P36" s="30"/>
      <c r="Q36" s="30" t="s">
        <v>21</v>
      </c>
      <c r="R36" s="30" t="s">
        <v>21</v>
      </c>
      <c r="S36" s="30"/>
      <c r="T36" s="30" t="s">
        <v>21</v>
      </c>
      <c r="U36" s="30" t="s">
        <v>21</v>
      </c>
      <c r="V36" s="33" t="str">
        <f t="shared" si="3"/>
        <v>#REF!</v>
      </c>
      <c r="W36" s="49" t="s">
        <v>152</v>
      </c>
      <c r="X36" s="46">
        <f>COUNTIF(G3:G98, "US")</f>
        <v>1</v>
      </c>
      <c r="Y36" s="44"/>
      <c r="Z36" s="49"/>
      <c r="AA36" s="46"/>
    </row>
    <row r="37" ht="15.75" customHeight="1">
      <c r="A37" s="25">
        <f t="shared" si="1"/>
        <v>11</v>
      </c>
      <c r="B37" s="25">
        <f t="shared" si="2"/>
        <v>7</v>
      </c>
      <c r="C37" s="26" t="s">
        <v>46</v>
      </c>
      <c r="D37" s="27" t="s">
        <v>180</v>
      </c>
      <c r="E37" s="28" t="s">
        <v>48</v>
      </c>
      <c r="F37" s="28" t="s">
        <v>28</v>
      </c>
      <c r="G37" s="29" t="s">
        <v>20</v>
      </c>
      <c r="H37" s="31" t="s">
        <v>89</v>
      </c>
      <c r="I37" s="32" t="s">
        <v>68</v>
      </c>
      <c r="J37" s="30"/>
      <c r="K37" s="30" t="s">
        <v>33</v>
      </c>
      <c r="L37" s="30" t="s">
        <v>33</v>
      </c>
      <c r="M37" s="30"/>
      <c r="N37" s="30" t="s">
        <v>52</v>
      </c>
      <c r="O37" s="30" t="s">
        <v>21</v>
      </c>
      <c r="P37" s="30"/>
      <c r="Q37" s="30" t="s">
        <v>21</v>
      </c>
      <c r="R37" s="30" t="s">
        <v>21</v>
      </c>
      <c r="S37" s="30"/>
      <c r="T37" s="30" t="s">
        <v>21</v>
      </c>
      <c r="U37" s="30" t="s">
        <v>21</v>
      </c>
      <c r="V37" s="33" t="str">
        <f t="shared" si="3"/>
        <v>#REF!</v>
      </c>
      <c r="W37" s="49" t="s">
        <v>154</v>
      </c>
      <c r="X37" s="46">
        <f>COUNTIF(G3:G98, "Ve")</f>
        <v>19</v>
      </c>
      <c r="Y37" s="44"/>
      <c r="Z37" s="49"/>
      <c r="AA37" s="46"/>
    </row>
    <row r="38" ht="15.75" customHeight="1">
      <c r="A38" s="25">
        <f t="shared" si="1"/>
        <v>12</v>
      </c>
      <c r="B38" s="25">
        <f t="shared" si="2"/>
        <v>7</v>
      </c>
      <c r="C38" s="26" t="s">
        <v>46</v>
      </c>
      <c r="D38" s="27" t="s">
        <v>196</v>
      </c>
      <c r="E38" s="28" t="s">
        <v>70</v>
      </c>
      <c r="F38" s="28" t="s">
        <v>61</v>
      </c>
      <c r="G38" s="29" t="s">
        <v>20</v>
      </c>
      <c r="H38" s="31" t="s">
        <v>92</v>
      </c>
      <c r="I38" s="32" t="s">
        <v>267</v>
      </c>
      <c r="J38" s="30"/>
      <c r="K38" s="30" t="s">
        <v>21</v>
      </c>
      <c r="L38" s="30" t="s">
        <v>21</v>
      </c>
      <c r="M38" s="30"/>
      <c r="N38" s="30" t="s">
        <v>21</v>
      </c>
      <c r="O38" s="30" t="s">
        <v>24</v>
      </c>
      <c r="P38" s="30" t="s">
        <v>58</v>
      </c>
      <c r="Q38" s="30" t="s">
        <v>21</v>
      </c>
      <c r="R38" s="30" t="s">
        <v>24</v>
      </c>
      <c r="S38" s="30"/>
      <c r="T38" s="30" t="s">
        <v>21</v>
      </c>
      <c r="U38" s="30" t="s">
        <v>21</v>
      </c>
      <c r="V38" s="33" t="str">
        <f t="shared" si="3"/>
        <v>#REF!</v>
      </c>
      <c r="W38" s="49" t="s">
        <v>156</v>
      </c>
      <c r="X38" s="46">
        <f>COUNTIF(G3:G98, "PR")</f>
        <v>2</v>
      </c>
      <c r="Y38" s="44"/>
      <c r="Z38" s="44"/>
      <c r="AA38" s="44"/>
    </row>
    <row r="39" ht="15.75" customHeight="1">
      <c r="A39" s="25">
        <f t="shared" si="1"/>
        <v>12</v>
      </c>
      <c r="B39" s="25">
        <f t="shared" si="2"/>
        <v>7</v>
      </c>
      <c r="C39" s="26" t="s">
        <v>46</v>
      </c>
      <c r="D39" s="27" t="s">
        <v>190</v>
      </c>
      <c r="E39" s="28" t="s">
        <v>70</v>
      </c>
      <c r="F39" s="28" t="s">
        <v>48</v>
      </c>
      <c r="G39" s="29" t="s">
        <v>191</v>
      </c>
      <c r="H39" s="31" t="s">
        <v>92</v>
      </c>
      <c r="I39" s="32" t="s">
        <v>268</v>
      </c>
      <c r="J39" s="30"/>
      <c r="K39" s="30" t="s">
        <v>21</v>
      </c>
      <c r="L39" s="30" t="s">
        <v>21</v>
      </c>
      <c r="M39" s="30"/>
      <c r="N39" s="30" t="s">
        <v>21</v>
      </c>
      <c r="O39" s="30" t="s">
        <v>21</v>
      </c>
      <c r="P39" s="30"/>
      <c r="Q39" s="30" t="s">
        <v>21</v>
      </c>
      <c r="R39" s="30" t="s">
        <v>21</v>
      </c>
      <c r="S39" s="30"/>
      <c r="T39" s="30" t="s">
        <v>21</v>
      </c>
      <c r="U39" s="30" t="s">
        <v>21</v>
      </c>
      <c r="V39" s="33" t="str">
        <f t="shared" si="3"/>
        <v>#REF!</v>
      </c>
      <c r="W39" s="49" t="s">
        <v>159</v>
      </c>
      <c r="X39" s="46">
        <f>COUNTIF(G3:G98, "Bo")</f>
        <v>1</v>
      </c>
      <c r="Y39" s="44"/>
      <c r="Z39" s="44"/>
      <c r="AA39" s="44"/>
    </row>
    <row r="40" ht="15.75" customHeight="1">
      <c r="A40" s="25">
        <f t="shared" si="1"/>
        <v>12</v>
      </c>
      <c r="B40" s="25">
        <f t="shared" si="2"/>
        <v>8</v>
      </c>
      <c r="C40" s="26" t="s">
        <v>54</v>
      </c>
      <c r="D40" s="27" t="s">
        <v>188</v>
      </c>
      <c r="E40" s="28" t="s">
        <v>41</v>
      </c>
      <c r="F40" s="28" t="s">
        <v>61</v>
      </c>
      <c r="G40" s="29" t="s">
        <v>62</v>
      </c>
      <c r="H40" s="31" t="s">
        <v>92</v>
      </c>
      <c r="I40" s="32"/>
      <c r="J40" s="30" t="s">
        <v>30</v>
      </c>
      <c r="K40" s="30" t="s">
        <v>30</v>
      </c>
      <c r="L40" s="30" t="s">
        <v>30</v>
      </c>
      <c r="M40" s="30" t="s">
        <v>30</v>
      </c>
      <c r="N40" s="30" t="s">
        <v>30</v>
      </c>
      <c r="O40" s="30" t="s">
        <v>30</v>
      </c>
      <c r="P40" s="30" t="s">
        <v>30</v>
      </c>
      <c r="Q40" s="30" t="s">
        <v>21</v>
      </c>
      <c r="R40" s="30" t="s">
        <v>21</v>
      </c>
      <c r="S40" s="30" t="s">
        <v>58</v>
      </c>
      <c r="T40" s="30" t="s">
        <v>21</v>
      </c>
      <c r="U40" s="30" t="s">
        <v>24</v>
      </c>
      <c r="V40" s="33" t="str">
        <f t="shared" si="3"/>
        <v>#REF!</v>
      </c>
    </row>
    <row r="41" ht="15.75" customHeight="1">
      <c r="A41" s="25">
        <f t="shared" si="1"/>
        <v>12</v>
      </c>
      <c r="B41" s="25">
        <f t="shared" si="2"/>
        <v>10</v>
      </c>
      <c r="C41" s="26" t="s">
        <v>84</v>
      </c>
      <c r="D41" s="27" t="s">
        <v>207</v>
      </c>
      <c r="E41" s="28" t="s">
        <v>19</v>
      </c>
      <c r="F41" s="28"/>
      <c r="G41" s="29" t="s">
        <v>49</v>
      </c>
      <c r="H41" s="31" t="s">
        <v>92</v>
      </c>
      <c r="I41" s="32"/>
      <c r="J41" s="30"/>
      <c r="K41" s="30" t="s">
        <v>21</v>
      </c>
      <c r="L41" s="30" t="s">
        <v>21</v>
      </c>
      <c r="M41" s="30"/>
      <c r="N41" s="30" t="s">
        <v>24</v>
      </c>
      <c r="O41" s="30" t="s">
        <v>24</v>
      </c>
      <c r="P41" s="30"/>
      <c r="Q41" s="30" t="s">
        <v>24</v>
      </c>
      <c r="R41" s="30" t="s">
        <v>24</v>
      </c>
      <c r="S41" s="30"/>
      <c r="T41" s="30" t="s">
        <v>24</v>
      </c>
      <c r="U41" s="30" t="s">
        <v>24</v>
      </c>
      <c r="V41" s="33" t="str">
        <f t="shared" si="3"/>
        <v>#REF!</v>
      </c>
    </row>
    <row r="42" ht="15.75" customHeight="1">
      <c r="A42" s="25">
        <f t="shared" si="1"/>
        <v>12</v>
      </c>
      <c r="B42" s="25">
        <f t="shared" si="2"/>
        <v>10</v>
      </c>
      <c r="C42" s="26" t="s">
        <v>84</v>
      </c>
      <c r="D42" s="62" t="s">
        <v>198</v>
      </c>
      <c r="E42" s="28" t="s">
        <v>70</v>
      </c>
      <c r="F42" s="28" t="s">
        <v>61</v>
      </c>
      <c r="G42" s="29" t="s">
        <v>71</v>
      </c>
      <c r="H42" s="31" t="s">
        <v>92</v>
      </c>
      <c r="I42" s="32"/>
      <c r="J42" s="30"/>
      <c r="K42" s="30" t="s">
        <v>21</v>
      </c>
      <c r="L42" s="30" t="s">
        <v>21</v>
      </c>
      <c r="M42" s="30" t="s">
        <v>58</v>
      </c>
      <c r="N42" s="30" t="s">
        <v>21</v>
      </c>
      <c r="O42" s="30" t="s">
        <v>21</v>
      </c>
      <c r="P42" s="30" t="s">
        <v>58</v>
      </c>
      <c r="Q42" s="30" t="s">
        <v>21</v>
      </c>
      <c r="R42" s="30" t="s">
        <v>21</v>
      </c>
      <c r="S42" s="30" t="s">
        <v>58</v>
      </c>
      <c r="T42" s="30" t="s">
        <v>21</v>
      </c>
      <c r="U42" s="30" t="s">
        <v>21</v>
      </c>
      <c r="V42" s="33" t="str">
        <f t="shared" si="3"/>
        <v>#REF!</v>
      </c>
      <c r="W42" s="55" t="s">
        <v>167</v>
      </c>
      <c r="X42" s="5"/>
      <c r="Y42" s="47"/>
      <c r="Z42" s="55" t="s">
        <v>168</v>
      </c>
      <c r="AA42" s="57"/>
    </row>
    <row r="43" ht="15.75" customHeight="1">
      <c r="A43" s="25">
        <f t="shared" si="1"/>
        <v>13</v>
      </c>
      <c r="B43" s="25">
        <f t="shared" si="2"/>
        <v>10</v>
      </c>
      <c r="C43" s="26" t="s">
        <v>84</v>
      </c>
      <c r="D43" s="27" t="s">
        <v>211</v>
      </c>
      <c r="E43" s="28" t="s">
        <v>61</v>
      </c>
      <c r="F43" s="28" t="s">
        <v>19</v>
      </c>
      <c r="G43" s="29" t="s">
        <v>62</v>
      </c>
      <c r="H43" s="31" t="s">
        <v>95</v>
      </c>
      <c r="I43" s="32" t="s">
        <v>210</v>
      </c>
      <c r="J43" s="30" t="s">
        <v>58</v>
      </c>
      <c r="K43" s="30" t="s">
        <v>21</v>
      </c>
      <c r="L43" s="30" t="s">
        <v>21</v>
      </c>
      <c r="M43" s="30" t="s">
        <v>58</v>
      </c>
      <c r="N43" s="30" t="s">
        <v>21</v>
      </c>
      <c r="O43" s="30" t="s">
        <v>21</v>
      </c>
      <c r="P43" s="30"/>
      <c r="Q43" s="30" t="s">
        <v>21</v>
      </c>
      <c r="R43" s="30" t="s">
        <v>21</v>
      </c>
      <c r="S43" s="30" t="s">
        <v>58</v>
      </c>
      <c r="T43" s="30" t="s">
        <v>24</v>
      </c>
      <c r="U43" s="30" t="s">
        <v>24</v>
      </c>
      <c r="V43" s="33" t="str">
        <f t="shared" si="3"/>
        <v>#REF!</v>
      </c>
      <c r="W43" s="56" t="s">
        <v>9</v>
      </c>
      <c r="X43" s="57"/>
      <c r="Y43" s="58" t="s">
        <v>170</v>
      </c>
      <c r="Z43" s="58" t="s">
        <v>171</v>
      </c>
      <c r="AA43" s="58" t="s">
        <v>176</v>
      </c>
    </row>
    <row r="44" ht="15.75" customHeight="1">
      <c r="A44" s="25">
        <f t="shared" si="1"/>
        <v>13</v>
      </c>
      <c r="B44" s="25">
        <f t="shared" si="2"/>
        <v>9</v>
      </c>
      <c r="C44" s="26" t="s">
        <v>64</v>
      </c>
      <c r="D44" s="27" t="s">
        <v>215</v>
      </c>
      <c r="E44" s="28" t="s">
        <v>41</v>
      </c>
      <c r="F44" s="28" t="s">
        <v>76</v>
      </c>
      <c r="G44" s="29" t="s">
        <v>71</v>
      </c>
      <c r="H44" s="31" t="s">
        <v>95</v>
      </c>
      <c r="I44" s="32" t="s">
        <v>216</v>
      </c>
      <c r="J44" s="30"/>
      <c r="K44" s="30" t="s">
        <v>21</v>
      </c>
      <c r="L44" s="30" t="s">
        <v>24</v>
      </c>
      <c r="M44" s="30"/>
      <c r="N44" s="30" t="s">
        <v>24</v>
      </c>
      <c r="O44" s="30" t="s">
        <v>24</v>
      </c>
      <c r="P44" s="30"/>
      <c r="Q44" s="30" t="s">
        <v>24</v>
      </c>
      <c r="R44" s="30" t="s">
        <v>24</v>
      </c>
      <c r="S44" s="30"/>
      <c r="T44" s="30" t="s">
        <v>33</v>
      </c>
      <c r="U44" s="30" t="s">
        <v>24</v>
      </c>
      <c r="V44" s="33" t="str">
        <f t="shared" si="3"/>
        <v>#REF!</v>
      </c>
      <c r="W44" s="59" t="s">
        <v>270</v>
      </c>
      <c r="X44" s="57"/>
      <c r="Y44" s="60">
        <v>43281.0</v>
      </c>
      <c r="Z44" s="61" t="s">
        <v>179</v>
      </c>
      <c r="AA44" s="61" t="s">
        <v>179</v>
      </c>
    </row>
    <row r="45" ht="15.75" customHeight="1">
      <c r="A45" s="25">
        <f t="shared" si="1"/>
        <v>13</v>
      </c>
      <c r="B45" s="25">
        <f t="shared" si="2"/>
        <v>9</v>
      </c>
      <c r="C45" s="26" t="s">
        <v>64</v>
      </c>
      <c r="D45" s="27" t="s">
        <v>242</v>
      </c>
      <c r="E45" s="28" t="s">
        <v>76</v>
      </c>
      <c r="F45" s="28"/>
      <c r="G45" s="29" t="s">
        <v>49</v>
      </c>
      <c r="H45" s="31" t="s">
        <v>95</v>
      </c>
      <c r="I45" s="32" t="s">
        <v>216</v>
      </c>
      <c r="J45" s="30" t="s">
        <v>58</v>
      </c>
      <c r="K45" s="30" t="s">
        <v>21</v>
      </c>
      <c r="L45" s="30" t="s">
        <v>21</v>
      </c>
      <c r="M45" s="30"/>
      <c r="N45" s="30" t="s">
        <v>21</v>
      </c>
      <c r="O45" s="30" t="s">
        <v>21</v>
      </c>
      <c r="P45" s="30" t="s">
        <v>58</v>
      </c>
      <c r="Q45" s="30" t="s">
        <v>21</v>
      </c>
      <c r="R45" s="30" t="s">
        <v>21</v>
      </c>
      <c r="S45" s="30"/>
      <c r="T45" s="30" t="s">
        <v>24</v>
      </c>
      <c r="U45" s="30" t="s">
        <v>21</v>
      </c>
      <c r="V45" s="33" t="str">
        <f t="shared" si="3"/>
        <v>#REF!</v>
      </c>
      <c r="W45" s="59" t="s">
        <v>271</v>
      </c>
      <c r="X45" s="57"/>
      <c r="Y45" s="60">
        <v>43283.0</v>
      </c>
      <c r="Z45" s="61" t="s">
        <v>179</v>
      </c>
      <c r="AA45" s="61" t="s">
        <v>179</v>
      </c>
    </row>
    <row r="46" ht="15.75" customHeight="1">
      <c r="A46" s="25">
        <f t="shared" si="1"/>
        <v>13</v>
      </c>
      <c r="B46" s="25">
        <f t="shared" si="2"/>
        <v>10</v>
      </c>
      <c r="C46" s="26" t="s">
        <v>84</v>
      </c>
      <c r="D46" s="27" t="s">
        <v>75</v>
      </c>
      <c r="E46" s="28" t="s">
        <v>70</v>
      </c>
      <c r="F46" s="28" t="s">
        <v>76</v>
      </c>
      <c r="G46" s="29" t="s">
        <v>71</v>
      </c>
      <c r="H46" s="31" t="s">
        <v>95</v>
      </c>
      <c r="I46" s="32" t="s">
        <v>255</v>
      </c>
      <c r="J46" s="30"/>
      <c r="K46" s="30" t="s">
        <v>24</v>
      </c>
      <c r="L46" s="30" t="s">
        <v>21</v>
      </c>
      <c r="M46" s="30"/>
      <c r="N46" s="30" t="s">
        <v>24</v>
      </c>
      <c r="O46" s="30" t="s">
        <v>21</v>
      </c>
      <c r="P46" s="30"/>
      <c r="Q46" s="30" t="s">
        <v>24</v>
      </c>
      <c r="R46" s="30" t="s">
        <v>21</v>
      </c>
      <c r="S46" s="30" t="s">
        <v>58</v>
      </c>
      <c r="T46" s="30" t="s">
        <v>24</v>
      </c>
      <c r="U46" s="30" t="s">
        <v>24</v>
      </c>
      <c r="V46" s="33" t="str">
        <f t="shared" si="3"/>
        <v>#REF!</v>
      </c>
      <c r="W46" s="59"/>
      <c r="X46" s="57"/>
      <c r="Y46" s="60"/>
      <c r="Z46" s="61"/>
      <c r="AA46" s="61"/>
    </row>
    <row r="47" ht="15.75" customHeight="1">
      <c r="A47" s="25">
        <f t="shared" si="1"/>
        <v>13</v>
      </c>
      <c r="B47" s="25">
        <v>11.0</v>
      </c>
      <c r="C47" s="26" t="s">
        <v>79</v>
      </c>
      <c r="D47" s="27" t="s">
        <v>247</v>
      </c>
      <c r="E47" s="28" t="s">
        <v>19</v>
      </c>
      <c r="F47" s="28"/>
      <c r="G47" s="29" t="s">
        <v>62</v>
      </c>
      <c r="H47" s="31" t="s">
        <v>95</v>
      </c>
      <c r="I47" s="32"/>
      <c r="J47" s="30" t="s">
        <v>37</v>
      </c>
      <c r="K47" s="30" t="s">
        <v>37</v>
      </c>
      <c r="L47" s="30" t="s">
        <v>37</v>
      </c>
      <c r="M47" s="30" t="s">
        <v>37</v>
      </c>
      <c r="N47" s="30" t="s">
        <v>37</v>
      </c>
      <c r="O47" s="30" t="s">
        <v>37</v>
      </c>
      <c r="P47" s="30" t="s">
        <v>37</v>
      </c>
      <c r="Q47" s="30" t="s">
        <v>37</v>
      </c>
      <c r="R47" s="30" t="s">
        <v>37</v>
      </c>
      <c r="S47" s="30" t="s">
        <v>37</v>
      </c>
      <c r="T47" s="30" t="s">
        <v>24</v>
      </c>
      <c r="U47" s="30" t="s">
        <v>24</v>
      </c>
      <c r="V47" s="33" t="str">
        <f t="shared" si="3"/>
        <v>#REF!</v>
      </c>
      <c r="W47" s="59"/>
      <c r="X47" s="57"/>
      <c r="Y47" s="60"/>
      <c r="Z47" s="61"/>
      <c r="AA47" s="61"/>
    </row>
    <row r="48" ht="15.75" customHeight="1">
      <c r="A48" s="25">
        <f t="shared" si="1"/>
        <v>15</v>
      </c>
      <c r="B48" s="25">
        <f t="shared" ref="B48:B98" si="4">IF(C48="Cap.",1,IF(C48="Tte.",2,IF(C48="Alf.",3,IF(C48="SgtM.",4,IF(C48="Sgt1.",5,IF(C48="Sgt.",6,IF(C48="Cbo1.",7,IF(C48="Cbo.",8,IF(C48="Dis.",9,IF(C48="Inf.",10,IF(C48="Rct.",11,15)))))))))))</f>
        <v>9</v>
      </c>
      <c r="C48" s="26" t="s">
        <v>64</v>
      </c>
      <c r="D48" s="27" t="s">
        <v>218</v>
      </c>
      <c r="E48" s="28" t="s">
        <v>41</v>
      </c>
      <c r="F48" s="28" t="s">
        <v>19</v>
      </c>
      <c r="G48" s="29" t="s">
        <v>71</v>
      </c>
      <c r="H48" s="31" t="s">
        <v>38</v>
      </c>
      <c r="I48" s="32" t="s">
        <v>38</v>
      </c>
      <c r="J48" s="30"/>
      <c r="K48" s="30" t="s">
        <v>21</v>
      </c>
      <c r="L48" s="30" t="s">
        <v>21</v>
      </c>
      <c r="M48" s="30"/>
      <c r="N48" s="30" t="s">
        <v>21</v>
      </c>
      <c r="O48" s="30" t="s">
        <v>37</v>
      </c>
      <c r="P48" s="30" t="s">
        <v>37</v>
      </c>
      <c r="Q48" s="30" t="s">
        <v>37</v>
      </c>
      <c r="R48" s="30" t="s">
        <v>37</v>
      </c>
      <c r="S48" s="30" t="s">
        <v>37</v>
      </c>
      <c r="T48" s="30" t="s">
        <v>37</v>
      </c>
      <c r="U48" s="30" t="s">
        <v>37</v>
      </c>
      <c r="V48" s="33" t="str">
        <f t="shared" si="3"/>
        <v>#REF!</v>
      </c>
      <c r="W48" s="59"/>
      <c r="X48" s="57"/>
      <c r="Y48" s="60"/>
      <c r="Z48" s="61"/>
      <c r="AA48" s="61"/>
    </row>
    <row r="49" ht="15.75" customHeight="1">
      <c r="A49" s="25">
        <f t="shared" si="1"/>
        <v>15</v>
      </c>
      <c r="B49" s="25">
        <f t="shared" si="4"/>
        <v>6</v>
      </c>
      <c r="C49" s="26" t="s">
        <v>113</v>
      </c>
      <c r="D49" s="27" t="s">
        <v>169</v>
      </c>
      <c r="E49" s="28" t="s">
        <v>41</v>
      </c>
      <c r="F49" s="28" t="s">
        <v>19</v>
      </c>
      <c r="G49" s="29" t="s">
        <v>20</v>
      </c>
      <c r="H49" s="31" t="s">
        <v>101</v>
      </c>
      <c r="I49" s="32" t="s">
        <v>101</v>
      </c>
      <c r="J49" s="30" t="s">
        <v>30</v>
      </c>
      <c r="K49" s="30" t="s">
        <v>30</v>
      </c>
      <c r="L49" s="30" t="s">
        <v>30</v>
      </c>
      <c r="M49" s="30" t="s">
        <v>30</v>
      </c>
      <c r="N49" s="30" t="s">
        <v>30</v>
      </c>
      <c r="O49" s="30" t="s">
        <v>30</v>
      </c>
      <c r="P49" s="30" t="s">
        <v>30</v>
      </c>
      <c r="Q49" s="30" t="s">
        <v>30</v>
      </c>
      <c r="R49" s="30" t="s">
        <v>30</v>
      </c>
      <c r="S49" s="30" t="s">
        <v>30</v>
      </c>
      <c r="T49" s="30" t="s">
        <v>30</v>
      </c>
      <c r="U49" s="30" t="s">
        <v>30</v>
      </c>
      <c r="V49" s="33" t="str">
        <f t="shared" si="3"/>
        <v>#REF!</v>
      </c>
      <c r="W49" s="59"/>
      <c r="X49" s="57"/>
      <c r="Y49" s="60"/>
      <c r="Z49" s="61"/>
      <c r="AA49" s="61"/>
    </row>
    <row r="50" ht="15.75" customHeight="1">
      <c r="A50" s="25">
        <f t="shared" si="1"/>
        <v>15</v>
      </c>
      <c r="B50" s="25">
        <f t="shared" si="4"/>
        <v>7</v>
      </c>
      <c r="C50" s="26" t="s">
        <v>46</v>
      </c>
      <c r="D50" s="27" t="s">
        <v>272</v>
      </c>
      <c r="E50" s="28" t="s">
        <v>70</v>
      </c>
      <c r="F50" s="28" t="s">
        <v>19</v>
      </c>
      <c r="G50" s="29" t="s">
        <v>20</v>
      </c>
      <c r="H50" s="31" t="s">
        <v>101</v>
      </c>
      <c r="I50" s="32" t="s">
        <v>101</v>
      </c>
      <c r="J50" s="30" t="s">
        <v>30</v>
      </c>
      <c r="K50" s="30" t="s">
        <v>30</v>
      </c>
      <c r="L50" s="30" t="s">
        <v>30</v>
      </c>
      <c r="M50" s="30" t="s">
        <v>30</v>
      </c>
      <c r="N50" s="30" t="s">
        <v>30</v>
      </c>
      <c r="O50" s="30" t="s">
        <v>30</v>
      </c>
      <c r="P50" s="30" t="s">
        <v>30</v>
      </c>
      <c r="Q50" s="30" t="s">
        <v>30</v>
      </c>
      <c r="R50" s="30" t="s">
        <v>30</v>
      </c>
      <c r="S50" s="30" t="s">
        <v>30</v>
      </c>
      <c r="T50" s="30" t="s">
        <v>30</v>
      </c>
      <c r="U50" s="30" t="s">
        <v>30</v>
      </c>
      <c r="V50" s="33" t="str">
        <f t="shared" si="3"/>
        <v>#REF!</v>
      </c>
      <c r="W50" s="59"/>
      <c r="X50" s="57"/>
      <c r="Y50" s="60"/>
      <c r="Z50" s="61"/>
      <c r="AA50" s="61"/>
    </row>
    <row r="51" ht="15.75" customHeight="1">
      <c r="A51" s="25">
        <f t="shared" si="1"/>
        <v>15</v>
      </c>
      <c r="B51" s="25">
        <f t="shared" si="4"/>
        <v>7</v>
      </c>
      <c r="C51" s="26" t="s">
        <v>46</v>
      </c>
      <c r="D51" s="27" t="s">
        <v>173</v>
      </c>
      <c r="E51" s="28" t="s">
        <v>76</v>
      </c>
      <c r="F51" s="28" t="s">
        <v>56</v>
      </c>
      <c r="G51" s="29" t="s">
        <v>20</v>
      </c>
      <c r="H51" s="31" t="s">
        <v>101</v>
      </c>
      <c r="I51" s="32" t="s">
        <v>101</v>
      </c>
      <c r="J51" s="30" t="s">
        <v>30</v>
      </c>
      <c r="K51" s="30" t="s">
        <v>30</v>
      </c>
      <c r="L51" s="30" t="s">
        <v>30</v>
      </c>
      <c r="M51" s="30" t="s">
        <v>30</v>
      </c>
      <c r="N51" s="30" t="s">
        <v>30</v>
      </c>
      <c r="O51" s="30" t="s">
        <v>30</v>
      </c>
      <c r="P51" s="30" t="s">
        <v>30</v>
      </c>
      <c r="Q51" s="30" t="s">
        <v>30</v>
      </c>
      <c r="R51" s="30" t="s">
        <v>30</v>
      </c>
      <c r="S51" s="30" t="s">
        <v>30</v>
      </c>
      <c r="T51" s="30" t="s">
        <v>30</v>
      </c>
      <c r="U51" s="30" t="s">
        <v>30</v>
      </c>
      <c r="V51" s="33" t="str">
        <f t="shared" si="3"/>
        <v>#REF!</v>
      </c>
      <c r="W51" s="59"/>
      <c r="X51" s="57"/>
      <c r="Y51" s="60"/>
      <c r="Z51" s="61"/>
      <c r="AA51" s="61"/>
    </row>
    <row r="52" ht="15.75" customHeight="1">
      <c r="A52" s="25">
        <f t="shared" si="1"/>
        <v>15</v>
      </c>
      <c r="B52" s="25">
        <f t="shared" si="4"/>
        <v>8</v>
      </c>
      <c r="C52" s="26" t="s">
        <v>54</v>
      </c>
      <c r="D52" s="27" t="s">
        <v>193</v>
      </c>
      <c r="E52" s="28" t="s">
        <v>19</v>
      </c>
      <c r="F52" s="28"/>
      <c r="G52" s="29" t="s">
        <v>49</v>
      </c>
      <c r="H52" s="31" t="s">
        <v>101</v>
      </c>
      <c r="I52" s="32" t="s">
        <v>101</v>
      </c>
      <c r="J52" s="30" t="s">
        <v>30</v>
      </c>
      <c r="K52" s="30" t="s">
        <v>30</v>
      </c>
      <c r="L52" s="30" t="s">
        <v>30</v>
      </c>
      <c r="M52" s="30" t="s">
        <v>30</v>
      </c>
      <c r="N52" s="30" t="s">
        <v>30</v>
      </c>
      <c r="O52" s="30" t="s">
        <v>30</v>
      </c>
      <c r="P52" s="30" t="s">
        <v>30</v>
      </c>
      <c r="Q52" s="30" t="s">
        <v>30</v>
      </c>
      <c r="R52" s="30" t="s">
        <v>30</v>
      </c>
      <c r="S52" s="30" t="s">
        <v>30</v>
      </c>
      <c r="T52" s="30" t="s">
        <v>30</v>
      </c>
      <c r="U52" s="30" t="s">
        <v>30</v>
      </c>
      <c r="V52" s="33" t="str">
        <f t="shared" si="3"/>
        <v>#REF!</v>
      </c>
      <c r="W52" s="59"/>
      <c r="X52" s="57"/>
      <c r="Y52" s="60"/>
      <c r="Z52" s="61"/>
      <c r="AA52" s="61"/>
    </row>
    <row r="53" ht="15.75" customHeight="1">
      <c r="A53" s="25">
        <f t="shared" si="1"/>
        <v>15</v>
      </c>
      <c r="B53" s="25">
        <f t="shared" si="4"/>
        <v>8</v>
      </c>
      <c r="C53" s="26" t="s">
        <v>54</v>
      </c>
      <c r="D53" s="27" t="s">
        <v>103</v>
      </c>
      <c r="E53" s="28" t="s">
        <v>70</v>
      </c>
      <c r="F53" s="28" t="s">
        <v>19</v>
      </c>
      <c r="G53" s="29" t="s">
        <v>20</v>
      </c>
      <c r="H53" s="31" t="s">
        <v>101</v>
      </c>
      <c r="I53" s="32" t="s">
        <v>101</v>
      </c>
      <c r="J53" s="30" t="s">
        <v>30</v>
      </c>
      <c r="K53" s="30" t="s">
        <v>30</v>
      </c>
      <c r="L53" s="30" t="s">
        <v>30</v>
      </c>
      <c r="M53" s="30" t="s">
        <v>30</v>
      </c>
      <c r="N53" s="30" t="s">
        <v>30</v>
      </c>
      <c r="O53" s="30" t="s">
        <v>30</v>
      </c>
      <c r="P53" s="30" t="s">
        <v>30</v>
      </c>
      <c r="Q53" s="30" t="s">
        <v>30</v>
      </c>
      <c r="R53" s="30" t="s">
        <v>30</v>
      </c>
      <c r="S53" s="30" t="s">
        <v>30</v>
      </c>
      <c r="T53" s="30" t="s">
        <v>30</v>
      </c>
      <c r="U53" s="30" t="s">
        <v>30</v>
      </c>
      <c r="V53" s="33" t="str">
        <f t="shared" si="3"/>
        <v>#REF!</v>
      </c>
      <c r="W53" s="59"/>
      <c r="X53" s="57"/>
      <c r="Y53" s="60"/>
      <c r="Z53" s="61"/>
      <c r="AA53" s="61"/>
    </row>
    <row r="54" ht="15.75" customHeight="1">
      <c r="A54" s="25">
        <f t="shared" si="1"/>
        <v>15</v>
      </c>
      <c r="B54" s="25">
        <f t="shared" si="4"/>
        <v>8</v>
      </c>
      <c r="C54" s="26" t="s">
        <v>54</v>
      </c>
      <c r="D54" s="27" t="s">
        <v>105</v>
      </c>
      <c r="E54" s="28" t="s">
        <v>41</v>
      </c>
      <c r="F54" s="28" t="s">
        <v>56</v>
      </c>
      <c r="G54" s="29" t="s">
        <v>49</v>
      </c>
      <c r="H54" s="31" t="s">
        <v>101</v>
      </c>
      <c r="I54" s="32" t="s">
        <v>101</v>
      </c>
      <c r="J54" s="30" t="s">
        <v>30</v>
      </c>
      <c r="K54" s="30" t="s">
        <v>30</v>
      </c>
      <c r="L54" s="30" t="s">
        <v>30</v>
      </c>
      <c r="M54" s="30" t="s">
        <v>30</v>
      </c>
      <c r="N54" s="30" t="s">
        <v>30</v>
      </c>
      <c r="O54" s="30" t="s">
        <v>30</v>
      </c>
      <c r="P54" s="30" t="s">
        <v>30</v>
      </c>
      <c r="Q54" s="30" t="s">
        <v>30</v>
      </c>
      <c r="R54" s="30" t="s">
        <v>30</v>
      </c>
      <c r="S54" s="30" t="s">
        <v>30</v>
      </c>
      <c r="T54" s="30" t="s">
        <v>30</v>
      </c>
      <c r="U54" s="30" t="s">
        <v>30</v>
      </c>
      <c r="V54" s="33" t="str">
        <f t="shared" si="3"/>
        <v>#REF!</v>
      </c>
      <c r="W54" s="59"/>
      <c r="X54" s="57"/>
      <c r="Y54" s="60"/>
      <c r="Z54" s="61"/>
      <c r="AA54" s="61"/>
    </row>
    <row r="55" ht="15.75" customHeight="1">
      <c r="A55" s="25">
        <f t="shared" si="1"/>
        <v>15</v>
      </c>
      <c r="B55" s="25">
        <f t="shared" si="4"/>
        <v>9</v>
      </c>
      <c r="C55" s="26" t="s">
        <v>64</v>
      </c>
      <c r="D55" s="27" t="s">
        <v>175</v>
      </c>
      <c r="E55" s="28" t="s">
        <v>70</v>
      </c>
      <c r="F55" s="28" t="s">
        <v>41</v>
      </c>
      <c r="G55" s="29" t="s">
        <v>49</v>
      </c>
      <c r="H55" s="31" t="s">
        <v>101</v>
      </c>
      <c r="I55" s="32" t="s">
        <v>101</v>
      </c>
      <c r="J55" s="30"/>
      <c r="K55" s="30" t="s">
        <v>24</v>
      </c>
      <c r="L55" s="30" t="s">
        <v>21</v>
      </c>
      <c r="M55" s="30"/>
      <c r="N55" s="30" t="s">
        <v>24</v>
      </c>
      <c r="O55" s="30" t="s">
        <v>24</v>
      </c>
      <c r="P55" s="30"/>
      <c r="Q55" s="30" t="s">
        <v>24</v>
      </c>
      <c r="R55" s="30" t="s">
        <v>24</v>
      </c>
      <c r="S55" s="30"/>
      <c r="T55" s="30" t="s">
        <v>30</v>
      </c>
      <c r="U55" s="30" t="s">
        <v>30</v>
      </c>
      <c r="V55" s="33" t="str">
        <f t="shared" si="3"/>
        <v>#REF!</v>
      </c>
      <c r="W55" s="59"/>
      <c r="X55" s="57"/>
      <c r="Y55" s="60"/>
      <c r="Z55" s="61"/>
      <c r="AA55" s="61"/>
    </row>
    <row r="56" ht="15.75" customHeight="1">
      <c r="A56" s="25">
        <f t="shared" si="1"/>
        <v>15</v>
      </c>
      <c r="B56" s="25">
        <f t="shared" si="4"/>
        <v>9</v>
      </c>
      <c r="C56" s="26" t="s">
        <v>64</v>
      </c>
      <c r="D56" s="27" t="s">
        <v>187</v>
      </c>
      <c r="E56" s="28" t="s">
        <v>61</v>
      </c>
      <c r="F56" s="28" t="s">
        <v>41</v>
      </c>
      <c r="G56" s="29" t="s">
        <v>163</v>
      </c>
      <c r="H56" s="31" t="s">
        <v>101</v>
      </c>
      <c r="I56" s="32" t="s">
        <v>101</v>
      </c>
      <c r="J56" s="30" t="s">
        <v>30</v>
      </c>
      <c r="K56" s="30" t="s">
        <v>30</v>
      </c>
      <c r="L56" s="30" t="s">
        <v>30</v>
      </c>
      <c r="M56" s="30" t="s">
        <v>30</v>
      </c>
      <c r="N56" s="30" t="s">
        <v>30</v>
      </c>
      <c r="O56" s="30" t="s">
        <v>30</v>
      </c>
      <c r="P56" s="30" t="s">
        <v>30</v>
      </c>
      <c r="Q56" s="30" t="s">
        <v>30</v>
      </c>
      <c r="R56" s="30" t="s">
        <v>30</v>
      </c>
      <c r="S56" s="30" t="s">
        <v>30</v>
      </c>
      <c r="T56" s="30" t="s">
        <v>30</v>
      </c>
      <c r="U56" s="30" t="s">
        <v>30</v>
      </c>
      <c r="V56" s="33" t="str">
        <f t="shared" si="3"/>
        <v>#REF!</v>
      </c>
      <c r="W56" s="59"/>
      <c r="X56" s="57"/>
      <c r="Y56" s="60"/>
      <c r="Z56" s="61"/>
      <c r="AA56" s="61"/>
    </row>
    <row r="57" ht="15.75" customHeight="1">
      <c r="A57" s="25">
        <f t="shared" si="1"/>
        <v>15</v>
      </c>
      <c r="B57" s="25">
        <f t="shared" si="4"/>
        <v>9</v>
      </c>
      <c r="C57" s="26" t="s">
        <v>64</v>
      </c>
      <c r="D57" s="27" t="s">
        <v>107</v>
      </c>
      <c r="E57" s="28" t="s">
        <v>70</v>
      </c>
      <c r="F57" s="28" t="s">
        <v>48</v>
      </c>
      <c r="G57" s="29" t="s">
        <v>20</v>
      </c>
      <c r="H57" s="31" t="s">
        <v>101</v>
      </c>
      <c r="I57" s="32" t="s">
        <v>101</v>
      </c>
      <c r="J57" s="30" t="s">
        <v>30</v>
      </c>
      <c r="K57" s="30" t="s">
        <v>30</v>
      </c>
      <c r="L57" s="30" t="s">
        <v>30</v>
      </c>
      <c r="M57" s="30" t="s">
        <v>30</v>
      </c>
      <c r="N57" s="30" t="s">
        <v>30</v>
      </c>
      <c r="O57" s="30" t="s">
        <v>30</v>
      </c>
      <c r="P57" s="30" t="s">
        <v>30</v>
      </c>
      <c r="Q57" s="30" t="s">
        <v>30</v>
      </c>
      <c r="R57" s="30" t="s">
        <v>30</v>
      </c>
      <c r="S57" s="30" t="s">
        <v>30</v>
      </c>
      <c r="T57" s="30" t="s">
        <v>30</v>
      </c>
      <c r="U57" s="30" t="s">
        <v>30</v>
      </c>
      <c r="V57" s="33" t="str">
        <f t="shared" si="3"/>
        <v>#REF!</v>
      </c>
    </row>
    <row r="58" ht="15.75" customHeight="1">
      <c r="A58" s="25">
        <f t="shared" si="1"/>
        <v>15</v>
      </c>
      <c r="B58" s="25">
        <f t="shared" si="4"/>
        <v>9</v>
      </c>
      <c r="C58" s="26" t="s">
        <v>64</v>
      </c>
      <c r="D58" s="27" t="s">
        <v>226</v>
      </c>
      <c r="E58" s="28" t="s">
        <v>56</v>
      </c>
      <c r="F58" s="28" t="s">
        <v>19</v>
      </c>
      <c r="G58" s="29" t="s">
        <v>227</v>
      </c>
      <c r="H58" s="31" t="s">
        <v>101</v>
      </c>
      <c r="I58" s="32" t="s">
        <v>101</v>
      </c>
      <c r="J58" s="30" t="s">
        <v>30</v>
      </c>
      <c r="K58" s="30" t="s">
        <v>30</v>
      </c>
      <c r="L58" s="30" t="s">
        <v>30</v>
      </c>
      <c r="M58" s="30" t="s">
        <v>30</v>
      </c>
      <c r="N58" s="30" t="s">
        <v>30</v>
      </c>
      <c r="O58" s="30" t="s">
        <v>30</v>
      </c>
      <c r="P58" s="30" t="s">
        <v>30</v>
      </c>
      <c r="Q58" s="30" t="s">
        <v>30</v>
      </c>
      <c r="R58" s="30" t="s">
        <v>30</v>
      </c>
      <c r="S58" s="30" t="s">
        <v>30</v>
      </c>
      <c r="T58" s="30" t="s">
        <v>30</v>
      </c>
      <c r="U58" s="30" t="s">
        <v>30</v>
      </c>
      <c r="V58" s="33" t="str">
        <f t="shared" si="3"/>
        <v>#REF!</v>
      </c>
    </row>
    <row r="59" ht="15.75" customHeight="1">
      <c r="A59" s="25">
        <f t="shared" si="1"/>
        <v>15</v>
      </c>
      <c r="B59" s="25">
        <f t="shared" si="4"/>
        <v>9</v>
      </c>
      <c r="C59" s="26" t="s">
        <v>64</v>
      </c>
      <c r="D59" s="27" t="s">
        <v>60</v>
      </c>
      <c r="E59" s="28" t="s">
        <v>61</v>
      </c>
      <c r="F59" s="28" t="s">
        <v>56</v>
      </c>
      <c r="G59" s="29" t="s">
        <v>62</v>
      </c>
      <c r="H59" s="31" t="s">
        <v>101</v>
      </c>
      <c r="I59" s="32" t="s">
        <v>101</v>
      </c>
      <c r="J59" s="30" t="s">
        <v>30</v>
      </c>
      <c r="K59" s="30" t="s">
        <v>30</v>
      </c>
      <c r="L59" s="30" t="s">
        <v>30</v>
      </c>
      <c r="M59" s="30" t="s">
        <v>30</v>
      </c>
      <c r="N59" s="30" t="s">
        <v>30</v>
      </c>
      <c r="O59" s="30" t="s">
        <v>30</v>
      </c>
      <c r="P59" s="30" t="s">
        <v>30</v>
      </c>
      <c r="Q59" s="30" t="s">
        <v>30</v>
      </c>
      <c r="R59" s="30" t="s">
        <v>30</v>
      </c>
      <c r="S59" s="30" t="s">
        <v>30</v>
      </c>
      <c r="T59" s="30" t="s">
        <v>30</v>
      </c>
      <c r="U59" s="30" t="s">
        <v>30</v>
      </c>
      <c r="V59" s="33" t="str">
        <f t="shared" si="3"/>
        <v>#REF!</v>
      </c>
    </row>
    <row r="60" ht="15.75" customHeight="1">
      <c r="A60" s="25">
        <f t="shared" si="1"/>
        <v>15</v>
      </c>
      <c r="B60" s="25">
        <f t="shared" si="4"/>
        <v>9</v>
      </c>
      <c r="C60" s="26" t="s">
        <v>64</v>
      </c>
      <c r="D60" s="27" t="s">
        <v>83</v>
      </c>
      <c r="E60" s="28" t="s">
        <v>76</v>
      </c>
      <c r="F60" s="28" t="s">
        <v>19</v>
      </c>
      <c r="G60" s="29" t="s">
        <v>49</v>
      </c>
      <c r="H60" s="31" t="s">
        <v>101</v>
      </c>
      <c r="I60" s="32" t="s">
        <v>101</v>
      </c>
      <c r="J60" s="30" t="s">
        <v>30</v>
      </c>
      <c r="K60" s="30" t="s">
        <v>30</v>
      </c>
      <c r="L60" s="30" t="s">
        <v>30</v>
      </c>
      <c r="M60" s="30" t="s">
        <v>30</v>
      </c>
      <c r="N60" s="30" t="s">
        <v>30</v>
      </c>
      <c r="O60" s="30" t="s">
        <v>30</v>
      </c>
      <c r="P60" s="30" t="s">
        <v>30</v>
      </c>
      <c r="Q60" s="30" t="s">
        <v>30</v>
      </c>
      <c r="R60" s="30" t="s">
        <v>30</v>
      </c>
      <c r="S60" s="30" t="s">
        <v>30</v>
      </c>
      <c r="T60" s="30" t="s">
        <v>30</v>
      </c>
      <c r="U60" s="30" t="s">
        <v>30</v>
      </c>
      <c r="V60" s="33" t="str">
        <f t="shared" si="3"/>
        <v>#REF!</v>
      </c>
    </row>
    <row r="61" ht="15.75" customHeight="1">
      <c r="A61" s="25">
        <f t="shared" si="1"/>
        <v>15</v>
      </c>
      <c r="B61" s="25">
        <f t="shared" si="4"/>
        <v>9</v>
      </c>
      <c r="C61" s="26" t="s">
        <v>64</v>
      </c>
      <c r="D61" s="27" t="s">
        <v>205</v>
      </c>
      <c r="E61" s="28" t="s">
        <v>19</v>
      </c>
      <c r="F61" s="28"/>
      <c r="G61" s="29" t="s">
        <v>163</v>
      </c>
      <c r="H61" s="31" t="s">
        <v>101</v>
      </c>
      <c r="I61" s="32" t="s">
        <v>101</v>
      </c>
      <c r="J61" s="30" t="s">
        <v>30</v>
      </c>
      <c r="K61" s="30" t="s">
        <v>30</v>
      </c>
      <c r="L61" s="30" t="s">
        <v>30</v>
      </c>
      <c r="M61" s="30" t="s">
        <v>30</v>
      </c>
      <c r="N61" s="30" t="s">
        <v>30</v>
      </c>
      <c r="O61" s="30" t="s">
        <v>30</v>
      </c>
      <c r="P61" s="30" t="s">
        <v>30</v>
      </c>
      <c r="Q61" s="30" t="s">
        <v>30</v>
      </c>
      <c r="R61" s="30" t="s">
        <v>30</v>
      </c>
      <c r="S61" s="30" t="s">
        <v>30</v>
      </c>
      <c r="T61" s="30" t="s">
        <v>30</v>
      </c>
      <c r="U61" s="30" t="s">
        <v>30</v>
      </c>
      <c r="V61" s="33" t="str">
        <f t="shared" si="3"/>
        <v>#REF!</v>
      </c>
    </row>
    <row r="62" ht="15.75" customHeight="1">
      <c r="A62" s="25">
        <f t="shared" si="1"/>
        <v>15</v>
      </c>
      <c r="B62" s="25">
        <f t="shared" si="4"/>
        <v>10</v>
      </c>
      <c r="C62" s="26" t="s">
        <v>84</v>
      </c>
      <c r="D62" s="27" t="s">
        <v>228</v>
      </c>
      <c r="E62" s="28" t="s">
        <v>61</v>
      </c>
      <c r="F62" s="28" t="s">
        <v>19</v>
      </c>
      <c r="G62" s="29" t="s">
        <v>71</v>
      </c>
      <c r="H62" s="31" t="s">
        <v>101</v>
      </c>
      <c r="I62" s="32" t="s">
        <v>101</v>
      </c>
      <c r="J62" s="30" t="s">
        <v>30</v>
      </c>
      <c r="K62" s="30" t="s">
        <v>30</v>
      </c>
      <c r="L62" s="30" t="s">
        <v>30</v>
      </c>
      <c r="M62" s="30" t="s">
        <v>30</v>
      </c>
      <c r="N62" s="30" t="s">
        <v>30</v>
      </c>
      <c r="O62" s="30" t="s">
        <v>30</v>
      </c>
      <c r="P62" s="30" t="s">
        <v>30</v>
      </c>
      <c r="Q62" s="30" t="s">
        <v>30</v>
      </c>
      <c r="R62" s="30" t="s">
        <v>30</v>
      </c>
      <c r="S62" s="30" t="s">
        <v>30</v>
      </c>
      <c r="T62" s="30" t="s">
        <v>30</v>
      </c>
      <c r="U62" s="30" t="s">
        <v>30</v>
      </c>
      <c r="V62" s="33" t="str">
        <f t="shared" si="3"/>
        <v>#REF!</v>
      </c>
    </row>
    <row r="63" ht="15.75" customHeight="1">
      <c r="A63" s="25">
        <f t="shared" si="1"/>
        <v>15</v>
      </c>
      <c r="B63" s="25">
        <f t="shared" si="4"/>
        <v>10</v>
      </c>
      <c r="C63" s="26" t="s">
        <v>84</v>
      </c>
      <c r="D63" s="27" t="s">
        <v>276</v>
      </c>
      <c r="E63" s="28" t="s">
        <v>19</v>
      </c>
      <c r="F63" s="28"/>
      <c r="G63" s="29" t="s">
        <v>277</v>
      </c>
      <c r="H63" s="31" t="s">
        <v>101</v>
      </c>
      <c r="I63" s="32" t="s">
        <v>101</v>
      </c>
      <c r="J63" s="30" t="s">
        <v>30</v>
      </c>
      <c r="K63" s="30" t="s">
        <v>30</v>
      </c>
      <c r="L63" s="30" t="s">
        <v>30</v>
      </c>
      <c r="M63" s="30" t="s">
        <v>30</v>
      </c>
      <c r="N63" s="30" t="s">
        <v>30</v>
      </c>
      <c r="O63" s="30" t="s">
        <v>30</v>
      </c>
      <c r="P63" s="30" t="s">
        <v>30</v>
      </c>
      <c r="Q63" s="30" t="s">
        <v>30</v>
      </c>
      <c r="R63" s="30" t="s">
        <v>30</v>
      </c>
      <c r="S63" s="30" t="s">
        <v>30</v>
      </c>
      <c r="T63" s="30" t="s">
        <v>30</v>
      </c>
      <c r="U63" s="30" t="s">
        <v>30</v>
      </c>
      <c r="V63" s="33" t="str">
        <f t="shared" si="3"/>
        <v>#REF!</v>
      </c>
    </row>
    <row r="64" ht="15.75" customHeight="1">
      <c r="A64" s="25">
        <f t="shared" si="1"/>
        <v>15</v>
      </c>
      <c r="B64" s="25">
        <f t="shared" si="4"/>
        <v>11</v>
      </c>
      <c r="C64" s="26" t="s">
        <v>79</v>
      </c>
      <c r="D64" s="27" t="s">
        <v>177</v>
      </c>
      <c r="E64" s="28" t="s">
        <v>19</v>
      </c>
      <c r="F64" s="28"/>
      <c r="G64" s="29" t="s">
        <v>71</v>
      </c>
      <c r="H64" s="31" t="s">
        <v>101</v>
      </c>
      <c r="I64" s="32" t="s">
        <v>101</v>
      </c>
      <c r="J64" s="30" t="s">
        <v>30</v>
      </c>
      <c r="K64" s="30" t="s">
        <v>30</v>
      </c>
      <c r="L64" s="30" t="s">
        <v>30</v>
      </c>
      <c r="M64" s="30" t="s">
        <v>30</v>
      </c>
      <c r="N64" s="30" t="s">
        <v>30</v>
      </c>
      <c r="O64" s="30" t="s">
        <v>30</v>
      </c>
      <c r="P64" s="30" t="s">
        <v>30</v>
      </c>
      <c r="Q64" s="30" t="s">
        <v>30</v>
      </c>
      <c r="R64" s="30" t="s">
        <v>30</v>
      </c>
      <c r="S64" s="30" t="s">
        <v>30</v>
      </c>
      <c r="T64" s="30" t="s">
        <v>30</v>
      </c>
      <c r="U64" s="30" t="s">
        <v>30</v>
      </c>
      <c r="V64" s="33" t="str">
        <f t="shared" si="3"/>
        <v>#REF!</v>
      </c>
    </row>
    <row r="65" ht="15.75" customHeight="1">
      <c r="A65" s="25">
        <f t="shared" si="1"/>
        <v>15</v>
      </c>
      <c r="B65" s="25">
        <f t="shared" si="4"/>
        <v>11</v>
      </c>
      <c r="C65" s="26" t="s">
        <v>79</v>
      </c>
      <c r="D65" s="27" t="s">
        <v>128</v>
      </c>
      <c r="E65" s="28" t="s">
        <v>41</v>
      </c>
      <c r="F65" s="28" t="s">
        <v>19</v>
      </c>
      <c r="G65" s="29" t="s">
        <v>71</v>
      </c>
      <c r="H65" s="31" t="s">
        <v>101</v>
      </c>
      <c r="I65" s="32" t="s">
        <v>101</v>
      </c>
      <c r="J65" s="30" t="s">
        <v>30</v>
      </c>
      <c r="K65" s="30" t="s">
        <v>30</v>
      </c>
      <c r="L65" s="30" t="s">
        <v>30</v>
      </c>
      <c r="M65" s="30" t="s">
        <v>30</v>
      </c>
      <c r="N65" s="30" t="s">
        <v>30</v>
      </c>
      <c r="O65" s="30" t="s">
        <v>30</v>
      </c>
      <c r="P65" s="30" t="s">
        <v>30</v>
      </c>
      <c r="Q65" s="30" t="s">
        <v>30</v>
      </c>
      <c r="R65" s="30" t="s">
        <v>30</v>
      </c>
      <c r="S65" s="30" t="s">
        <v>30</v>
      </c>
      <c r="T65" s="30" t="s">
        <v>30</v>
      </c>
      <c r="U65" s="30" t="s">
        <v>30</v>
      </c>
      <c r="V65" s="33" t="str">
        <f t="shared" si="3"/>
        <v>#REF!</v>
      </c>
    </row>
    <row r="66" ht="15.75" customHeight="1">
      <c r="A66" s="25">
        <f t="shared" si="1"/>
        <v>15</v>
      </c>
      <c r="B66" s="25">
        <f t="shared" si="4"/>
        <v>11</v>
      </c>
      <c r="C66" s="26" t="s">
        <v>79</v>
      </c>
      <c r="D66" s="27" t="s">
        <v>111</v>
      </c>
      <c r="E66" s="28" t="s">
        <v>19</v>
      </c>
      <c r="F66" s="28"/>
      <c r="G66" s="29" t="s">
        <v>112</v>
      </c>
      <c r="H66" s="31" t="s">
        <v>101</v>
      </c>
      <c r="I66" s="32" t="s">
        <v>101</v>
      </c>
      <c r="J66" s="30" t="s">
        <v>30</v>
      </c>
      <c r="K66" s="30" t="s">
        <v>30</v>
      </c>
      <c r="L66" s="30" t="s">
        <v>30</v>
      </c>
      <c r="M66" s="30" t="s">
        <v>30</v>
      </c>
      <c r="N66" s="30" t="s">
        <v>30</v>
      </c>
      <c r="O66" s="30" t="s">
        <v>30</v>
      </c>
      <c r="P66" s="30" t="s">
        <v>30</v>
      </c>
      <c r="Q66" s="30" t="s">
        <v>30</v>
      </c>
      <c r="R66" s="30" t="s">
        <v>30</v>
      </c>
      <c r="S66" s="30" t="s">
        <v>30</v>
      </c>
      <c r="T66" s="30" t="s">
        <v>30</v>
      </c>
      <c r="U66" s="30" t="s">
        <v>30</v>
      </c>
      <c r="V66" s="33" t="str">
        <f t="shared" si="3"/>
        <v>#REF!</v>
      </c>
    </row>
    <row r="67" ht="15.75" customHeight="1">
      <c r="A67" s="25">
        <f t="shared" si="1"/>
        <v>15</v>
      </c>
      <c r="B67" s="25">
        <f t="shared" si="4"/>
        <v>11</v>
      </c>
      <c r="C67" s="26" t="s">
        <v>79</v>
      </c>
      <c r="D67" s="27" t="s">
        <v>221</v>
      </c>
      <c r="E67" s="28" t="s">
        <v>19</v>
      </c>
      <c r="F67" s="28"/>
      <c r="G67" s="29" t="s">
        <v>62</v>
      </c>
      <c r="H67" s="31" t="s">
        <v>101</v>
      </c>
      <c r="I67" s="32" t="s">
        <v>101</v>
      </c>
      <c r="J67" s="30" t="s">
        <v>30</v>
      </c>
      <c r="K67" s="30" t="s">
        <v>30</v>
      </c>
      <c r="L67" s="30" t="s">
        <v>30</v>
      </c>
      <c r="M67" s="30" t="s">
        <v>30</v>
      </c>
      <c r="N67" s="30" t="s">
        <v>30</v>
      </c>
      <c r="O67" s="30" t="s">
        <v>30</v>
      </c>
      <c r="P67" s="30" t="s">
        <v>30</v>
      </c>
      <c r="Q67" s="30" t="s">
        <v>30</v>
      </c>
      <c r="R67" s="30" t="s">
        <v>30</v>
      </c>
      <c r="S67" s="30" t="s">
        <v>30</v>
      </c>
      <c r="T67" s="30" t="s">
        <v>30</v>
      </c>
      <c r="U67" s="30" t="s">
        <v>30</v>
      </c>
      <c r="V67" s="33" t="str">
        <f t="shared" si="3"/>
        <v>#REF!</v>
      </c>
      <c r="W67" s="47"/>
      <c r="X67" s="47"/>
      <c r="Y67" s="48"/>
      <c r="Z67" s="1"/>
      <c r="AA67" s="1"/>
    </row>
    <row r="68" ht="15.75" customHeight="1">
      <c r="A68" s="25">
        <f t="shared" si="1"/>
        <v>15</v>
      </c>
      <c r="B68" s="25">
        <f t="shared" si="4"/>
        <v>11</v>
      </c>
      <c r="C68" s="26" t="s">
        <v>79</v>
      </c>
      <c r="D68" s="27" t="s">
        <v>209</v>
      </c>
      <c r="E68" s="28" t="s">
        <v>19</v>
      </c>
      <c r="F68" s="28"/>
      <c r="G68" s="29"/>
      <c r="H68" s="31"/>
      <c r="I68" s="32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3" t="str">
        <f t="shared" si="3"/>
        <v>#REF!</v>
      </c>
      <c r="W68" s="47"/>
      <c r="X68" s="47"/>
      <c r="Y68" s="48"/>
      <c r="Z68" s="1"/>
      <c r="AA68" s="1"/>
    </row>
    <row r="69" ht="15.75" customHeight="1">
      <c r="A69" s="25">
        <f t="shared" si="1"/>
        <v>15</v>
      </c>
      <c r="B69" s="25">
        <f t="shared" si="4"/>
        <v>11</v>
      </c>
      <c r="C69" s="26" t="s">
        <v>79</v>
      </c>
      <c r="D69" s="27" t="s">
        <v>201</v>
      </c>
      <c r="E69" s="28" t="s">
        <v>19</v>
      </c>
      <c r="F69" s="28"/>
      <c r="G69" s="29"/>
      <c r="H69" s="31"/>
      <c r="I69" s="32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3" t="str">
        <f t="shared" si="3"/>
        <v>#REF!</v>
      </c>
      <c r="W69" s="47"/>
      <c r="X69" s="47"/>
      <c r="Y69" s="48"/>
      <c r="Z69" s="1"/>
      <c r="AA69" s="1"/>
    </row>
    <row r="70" ht="15.75" customHeight="1">
      <c r="A70" s="25">
        <f t="shared" si="1"/>
        <v>15</v>
      </c>
      <c r="B70" s="25">
        <f t="shared" si="4"/>
        <v>11</v>
      </c>
      <c r="C70" s="26" t="s">
        <v>79</v>
      </c>
      <c r="D70" s="27" t="s">
        <v>200</v>
      </c>
      <c r="E70" s="28" t="s">
        <v>19</v>
      </c>
      <c r="F70" s="28"/>
      <c r="G70" s="29"/>
      <c r="H70" s="31"/>
      <c r="I70" s="32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3" t="str">
        <f t="shared" si="3"/>
        <v>#REF!</v>
      </c>
      <c r="W70" s="47"/>
      <c r="X70" s="47"/>
      <c r="Y70" s="48"/>
      <c r="Z70" s="1"/>
      <c r="AA70" s="1"/>
    </row>
    <row r="71" ht="15.75" customHeight="1">
      <c r="A71" s="25">
        <f t="shared" si="1"/>
        <v>15</v>
      </c>
      <c r="B71" s="25">
        <f t="shared" si="4"/>
        <v>15</v>
      </c>
      <c r="C71" s="26"/>
      <c r="D71" s="27"/>
      <c r="E71" s="28"/>
      <c r="F71" s="28"/>
      <c r="G71" s="29"/>
      <c r="H71" s="31"/>
      <c r="I71" s="32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3" t="str">
        <f t="shared" si="3"/>
        <v>#REF!</v>
      </c>
      <c r="W71" s="47"/>
      <c r="X71" s="47"/>
      <c r="Y71" s="48"/>
      <c r="Z71" s="1"/>
      <c r="AA71" s="1"/>
    </row>
    <row r="72" ht="15.75" customHeight="1">
      <c r="A72" s="25">
        <f t="shared" si="1"/>
        <v>15</v>
      </c>
      <c r="B72" s="25">
        <f t="shared" si="4"/>
        <v>15</v>
      </c>
      <c r="C72" s="26"/>
      <c r="D72" s="27"/>
      <c r="E72" s="28"/>
      <c r="F72" s="28"/>
      <c r="G72" s="29"/>
      <c r="H72" s="31"/>
      <c r="I72" s="32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3" t="str">
        <f t="shared" si="3"/>
        <v>#REF!</v>
      </c>
      <c r="W72" s="47"/>
      <c r="X72" s="47"/>
      <c r="Y72" s="48"/>
      <c r="Z72" s="1"/>
      <c r="AA72" s="1"/>
    </row>
    <row r="73" ht="15.75" customHeight="1">
      <c r="A73" s="25">
        <f t="shared" si="1"/>
        <v>15</v>
      </c>
      <c r="B73" s="25">
        <f t="shared" si="4"/>
        <v>15</v>
      </c>
      <c r="C73" s="26"/>
      <c r="D73" s="27"/>
      <c r="E73" s="28"/>
      <c r="F73" s="28"/>
      <c r="G73" s="29"/>
      <c r="H73" s="31"/>
      <c r="I73" s="32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3" t="str">
        <f t="shared" si="3"/>
        <v>#REF!</v>
      </c>
      <c r="W73" s="47"/>
      <c r="X73" s="47"/>
      <c r="Y73" s="48"/>
      <c r="Z73" s="1"/>
      <c r="AA73" s="1"/>
    </row>
    <row r="74" ht="15.75" customHeight="1">
      <c r="A74" s="25">
        <f t="shared" si="1"/>
        <v>15</v>
      </c>
      <c r="B74" s="25">
        <f t="shared" si="4"/>
        <v>15</v>
      </c>
      <c r="C74" s="26"/>
      <c r="D74" s="27"/>
      <c r="E74" s="28"/>
      <c r="F74" s="28"/>
      <c r="G74" s="29"/>
      <c r="H74" s="31"/>
      <c r="I74" s="32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3" t="str">
        <f t="shared" si="3"/>
        <v>#REF!</v>
      </c>
      <c r="W74" s="47"/>
      <c r="X74" s="47"/>
      <c r="Y74" s="48"/>
      <c r="Z74" s="1"/>
      <c r="AA74" s="1"/>
    </row>
    <row r="75" ht="15.75" customHeight="1">
      <c r="A75" s="25">
        <f t="shared" si="1"/>
        <v>15</v>
      </c>
      <c r="B75" s="25">
        <f t="shared" si="4"/>
        <v>15</v>
      </c>
      <c r="C75" s="26"/>
      <c r="D75" s="27"/>
      <c r="E75" s="28"/>
      <c r="F75" s="28"/>
      <c r="G75" s="29"/>
      <c r="H75" s="31"/>
      <c r="I75" s="32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3" t="str">
        <f t="shared" si="3"/>
        <v>#REF!</v>
      </c>
      <c r="W75" s="47"/>
      <c r="X75" s="47"/>
      <c r="Y75" s="48"/>
      <c r="Z75" s="1"/>
      <c r="AA75" s="1"/>
    </row>
    <row r="76" ht="15.75" customHeight="1">
      <c r="A76" s="25">
        <f t="shared" si="1"/>
        <v>15</v>
      </c>
      <c r="B76" s="25">
        <f t="shared" si="4"/>
        <v>15</v>
      </c>
      <c r="C76" s="26"/>
      <c r="D76" s="27"/>
      <c r="E76" s="28"/>
      <c r="F76" s="28"/>
      <c r="G76" s="29"/>
      <c r="H76" s="31"/>
      <c r="I76" s="32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3" t="str">
        <f t="shared" si="3"/>
        <v>#REF!</v>
      </c>
      <c r="W76" s="47"/>
      <c r="X76" s="47"/>
      <c r="Y76" s="48"/>
      <c r="Z76" s="1"/>
      <c r="AA76" s="1"/>
    </row>
    <row r="77" ht="15.75" customHeight="1">
      <c r="A77" s="25">
        <f t="shared" si="1"/>
        <v>15</v>
      </c>
      <c r="B77" s="25">
        <f t="shared" si="4"/>
        <v>15</v>
      </c>
      <c r="C77" s="26"/>
      <c r="D77" s="27"/>
      <c r="E77" s="28"/>
      <c r="F77" s="28"/>
      <c r="G77" s="29"/>
      <c r="H77" s="31"/>
      <c r="I77" s="32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3" t="str">
        <f t="shared" si="3"/>
        <v>#REF!</v>
      </c>
      <c r="W77" s="47"/>
      <c r="X77" s="47"/>
      <c r="Y77" s="48"/>
      <c r="Z77" s="1"/>
      <c r="AA77" s="1"/>
    </row>
    <row r="78" ht="15.75" customHeight="1">
      <c r="A78" s="25">
        <f t="shared" si="1"/>
        <v>15</v>
      </c>
      <c r="B78" s="25">
        <f t="shared" si="4"/>
        <v>15</v>
      </c>
      <c r="C78" s="26"/>
      <c r="D78" s="27"/>
      <c r="E78" s="28"/>
      <c r="F78" s="28"/>
      <c r="G78" s="29"/>
      <c r="H78" s="31"/>
      <c r="I78" s="32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3" t="str">
        <f t="shared" si="3"/>
        <v>#REF!</v>
      </c>
      <c r="W78" s="47"/>
      <c r="X78" s="47"/>
      <c r="Y78" s="48"/>
      <c r="Z78" s="1"/>
      <c r="AA78" s="1"/>
    </row>
    <row r="79" ht="15.75" customHeight="1">
      <c r="A79" s="25">
        <f t="shared" si="1"/>
        <v>15</v>
      </c>
      <c r="B79" s="25">
        <f t="shared" si="4"/>
        <v>15</v>
      </c>
      <c r="C79" s="26"/>
      <c r="D79" s="27"/>
      <c r="E79" s="28"/>
      <c r="F79" s="28"/>
      <c r="G79" s="29"/>
      <c r="H79" s="31"/>
      <c r="I79" s="32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3" t="str">
        <f t="shared" si="3"/>
        <v>#REF!</v>
      </c>
      <c r="W79" s="47"/>
      <c r="X79" s="47"/>
      <c r="Y79" s="48"/>
      <c r="Z79" s="1"/>
      <c r="AA79" s="1"/>
    </row>
    <row r="80" ht="15.75" customHeight="1">
      <c r="A80" s="25">
        <f t="shared" si="1"/>
        <v>15</v>
      </c>
      <c r="B80" s="25">
        <f t="shared" si="4"/>
        <v>15</v>
      </c>
      <c r="C80" s="26"/>
      <c r="D80" s="27"/>
      <c r="E80" s="28"/>
      <c r="F80" s="28"/>
      <c r="G80" s="29"/>
      <c r="H80" s="31"/>
      <c r="I80" s="32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3" t="str">
        <f t="shared" si="3"/>
        <v>#REF!</v>
      </c>
      <c r="W80" s="47"/>
      <c r="X80" s="47"/>
      <c r="Y80" s="48"/>
      <c r="Z80" s="1"/>
      <c r="AA80" s="1"/>
    </row>
    <row r="81" ht="15.75" customHeight="1">
      <c r="A81" s="25">
        <f t="shared" si="1"/>
        <v>15</v>
      </c>
      <c r="B81" s="25">
        <f t="shared" si="4"/>
        <v>15</v>
      </c>
      <c r="C81" s="26"/>
      <c r="D81" s="27"/>
      <c r="E81" s="28"/>
      <c r="F81" s="28"/>
      <c r="G81" s="29"/>
      <c r="H81" s="31"/>
      <c r="I81" s="32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3" t="str">
        <f t="shared" si="3"/>
        <v>#REF!</v>
      </c>
      <c r="W81" s="47"/>
      <c r="X81" s="47"/>
      <c r="Y81" s="48"/>
      <c r="Z81" s="1"/>
      <c r="AA81" s="1"/>
    </row>
    <row r="82" ht="15.75" customHeight="1">
      <c r="A82" s="25">
        <f t="shared" si="1"/>
        <v>15</v>
      </c>
      <c r="B82" s="25">
        <f t="shared" si="4"/>
        <v>15</v>
      </c>
      <c r="C82" s="26"/>
      <c r="D82" s="27"/>
      <c r="E82" s="28"/>
      <c r="F82" s="28"/>
      <c r="G82" s="29"/>
      <c r="H82" s="31"/>
      <c r="I82" s="32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3" t="str">
        <f t="shared" si="3"/>
        <v>#REF!</v>
      </c>
      <c r="W82" s="47"/>
      <c r="X82" s="47"/>
      <c r="Y82" s="48"/>
      <c r="Z82" s="1"/>
      <c r="AA82" s="1"/>
    </row>
    <row r="83" ht="15.75" customHeight="1">
      <c r="A83" s="25">
        <f t="shared" si="1"/>
        <v>15</v>
      </c>
      <c r="B83" s="25">
        <f t="shared" si="4"/>
        <v>15</v>
      </c>
      <c r="C83" s="26"/>
      <c r="D83" s="27"/>
      <c r="E83" s="28"/>
      <c r="F83" s="28"/>
      <c r="G83" s="29"/>
      <c r="H83" s="31"/>
      <c r="I83" s="32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3" t="str">
        <f t="shared" si="3"/>
        <v>#REF!</v>
      </c>
      <c r="W83" s="47"/>
      <c r="X83" s="47"/>
      <c r="Y83" s="48"/>
      <c r="Z83" s="1"/>
      <c r="AA83" s="1"/>
    </row>
    <row r="84" ht="15.75" customHeight="1">
      <c r="A84" s="25">
        <f t="shared" si="1"/>
        <v>15</v>
      </c>
      <c r="B84" s="25">
        <f t="shared" si="4"/>
        <v>15</v>
      </c>
      <c r="C84" s="26"/>
      <c r="D84" s="27"/>
      <c r="E84" s="28"/>
      <c r="F84" s="28"/>
      <c r="G84" s="29"/>
      <c r="H84" s="31"/>
      <c r="I84" s="32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3" t="str">
        <f t="shared" si="3"/>
        <v>#REF!</v>
      </c>
      <c r="W84" s="47"/>
      <c r="X84" s="47"/>
      <c r="Y84" s="48"/>
      <c r="Z84" s="1"/>
      <c r="AA84" s="1"/>
    </row>
    <row r="85" ht="15.75" customHeight="1">
      <c r="A85" s="25">
        <f t="shared" si="1"/>
        <v>15</v>
      </c>
      <c r="B85" s="25">
        <f t="shared" si="4"/>
        <v>15</v>
      </c>
      <c r="C85" s="26"/>
      <c r="D85" s="27"/>
      <c r="E85" s="28"/>
      <c r="F85" s="28"/>
      <c r="G85" s="29"/>
      <c r="H85" s="31"/>
      <c r="I85" s="32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3" t="str">
        <f t="shared" si="3"/>
        <v>#REF!</v>
      </c>
      <c r="W85" s="47"/>
      <c r="X85" s="47"/>
      <c r="Y85" s="48"/>
      <c r="Z85" s="1"/>
      <c r="AA85" s="1"/>
    </row>
    <row r="86" ht="15.75" customHeight="1">
      <c r="A86" s="25">
        <f t="shared" si="1"/>
        <v>15</v>
      </c>
      <c r="B86" s="25">
        <f t="shared" si="4"/>
        <v>15</v>
      </c>
      <c r="C86" s="26"/>
      <c r="D86" s="27"/>
      <c r="E86" s="28"/>
      <c r="F86" s="28"/>
      <c r="G86" s="29"/>
      <c r="H86" s="31"/>
      <c r="I86" s="32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3" t="str">
        <f t="shared" si="3"/>
        <v>#REF!</v>
      </c>
      <c r="W86" s="47"/>
      <c r="X86" s="47"/>
      <c r="Y86" s="48"/>
      <c r="Z86" s="1"/>
      <c r="AA86" s="1"/>
    </row>
    <row r="87" ht="15.75" customHeight="1">
      <c r="A87" s="25">
        <f t="shared" si="1"/>
        <v>15</v>
      </c>
      <c r="B87" s="25">
        <f t="shared" si="4"/>
        <v>15</v>
      </c>
      <c r="C87" s="26"/>
      <c r="D87" s="27"/>
      <c r="E87" s="28"/>
      <c r="F87" s="28"/>
      <c r="G87" s="29"/>
      <c r="H87" s="31"/>
      <c r="I87" s="32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3" t="str">
        <f t="shared" si="3"/>
        <v>#REF!</v>
      </c>
      <c r="W87" s="47"/>
      <c r="X87" s="47"/>
      <c r="Y87" s="48"/>
      <c r="Z87" s="1"/>
      <c r="AA87" s="1"/>
    </row>
    <row r="88" ht="15.75" customHeight="1">
      <c r="A88" s="25">
        <f t="shared" si="1"/>
        <v>15</v>
      </c>
      <c r="B88" s="25">
        <f t="shared" si="4"/>
        <v>15</v>
      </c>
      <c r="C88" s="26"/>
      <c r="D88" s="27"/>
      <c r="E88" s="28"/>
      <c r="F88" s="28"/>
      <c r="G88" s="29"/>
      <c r="H88" s="31"/>
      <c r="I88" s="32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3" t="str">
        <f t="shared" si="3"/>
        <v>#REF!</v>
      </c>
      <c r="W88" s="47"/>
      <c r="X88" s="47"/>
      <c r="Y88" s="48"/>
      <c r="Z88" s="1"/>
      <c r="AA88" s="1"/>
    </row>
    <row r="89" ht="15.75" customHeight="1">
      <c r="A89" s="25">
        <f t="shared" si="1"/>
        <v>15</v>
      </c>
      <c r="B89" s="25">
        <f t="shared" si="4"/>
        <v>15</v>
      </c>
      <c r="C89" s="26"/>
      <c r="D89" s="27"/>
      <c r="E89" s="28"/>
      <c r="F89" s="28"/>
      <c r="G89" s="29"/>
      <c r="H89" s="31"/>
      <c r="I89" s="32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3" t="str">
        <f t="shared" si="3"/>
        <v>#REF!</v>
      </c>
      <c r="W89" s="47"/>
      <c r="X89" s="47"/>
      <c r="Y89" s="48"/>
      <c r="Z89" s="1"/>
      <c r="AA89" s="1"/>
    </row>
    <row r="90" ht="15.75" customHeight="1">
      <c r="A90" s="25">
        <f t="shared" si="1"/>
        <v>15</v>
      </c>
      <c r="B90" s="25">
        <f t="shared" si="4"/>
        <v>15</v>
      </c>
      <c r="C90" s="26"/>
      <c r="D90" s="27"/>
      <c r="E90" s="28"/>
      <c r="F90" s="28"/>
      <c r="G90" s="29"/>
      <c r="H90" s="31"/>
      <c r="I90" s="32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3" t="str">
        <f t="shared" si="3"/>
        <v>#REF!</v>
      </c>
      <c r="W90" s="47"/>
      <c r="X90" s="47"/>
      <c r="Y90" s="48"/>
      <c r="Z90" s="1"/>
      <c r="AA90" s="1"/>
    </row>
    <row r="91" ht="15.75" customHeight="1">
      <c r="A91" s="25">
        <f t="shared" si="1"/>
        <v>15</v>
      </c>
      <c r="B91" s="25">
        <f t="shared" si="4"/>
        <v>15</v>
      </c>
      <c r="C91" s="26"/>
      <c r="D91" s="27"/>
      <c r="E91" s="28"/>
      <c r="F91" s="28"/>
      <c r="G91" s="29"/>
      <c r="H91" s="31"/>
      <c r="I91" s="32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3" t="str">
        <f t="shared" si="3"/>
        <v>#REF!</v>
      </c>
      <c r="W91" s="47"/>
      <c r="X91" s="47"/>
      <c r="Y91" s="48"/>
      <c r="Z91" s="1"/>
      <c r="AA91" s="1"/>
    </row>
    <row r="92" ht="15.75" customHeight="1">
      <c r="A92" s="25">
        <f t="shared" si="1"/>
        <v>15</v>
      </c>
      <c r="B92" s="25">
        <f t="shared" si="4"/>
        <v>15</v>
      </c>
      <c r="C92" s="26"/>
      <c r="D92" s="27"/>
      <c r="E92" s="28"/>
      <c r="F92" s="28"/>
      <c r="G92" s="29"/>
      <c r="H92" s="31"/>
      <c r="I92" s="32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3" t="str">
        <f t="shared" si="3"/>
        <v>#REF!</v>
      </c>
      <c r="W92" s="47"/>
      <c r="X92" s="47"/>
      <c r="Y92" s="48"/>
      <c r="Z92" s="1"/>
      <c r="AA92" s="1"/>
    </row>
    <row r="93" ht="15.75" customHeight="1">
      <c r="A93" s="25">
        <f t="shared" si="1"/>
        <v>15</v>
      </c>
      <c r="B93" s="25">
        <f t="shared" si="4"/>
        <v>15</v>
      </c>
      <c r="C93" s="26"/>
      <c r="D93" s="27"/>
      <c r="E93" s="28"/>
      <c r="F93" s="28"/>
      <c r="G93" s="29"/>
      <c r="H93" s="31"/>
      <c r="I93" s="32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3" t="str">
        <f t="shared" si="3"/>
        <v>#REF!</v>
      </c>
      <c r="W93" s="47"/>
      <c r="X93" s="47"/>
      <c r="Y93" s="48"/>
      <c r="Z93" s="1"/>
      <c r="AA93" s="1"/>
    </row>
    <row r="94" ht="15.75" customHeight="1">
      <c r="A94" s="25">
        <f t="shared" si="1"/>
        <v>15</v>
      </c>
      <c r="B94" s="25">
        <f t="shared" si="4"/>
        <v>15</v>
      </c>
      <c r="C94" s="26"/>
      <c r="D94" s="27"/>
      <c r="E94" s="28"/>
      <c r="F94" s="28"/>
      <c r="G94" s="29"/>
      <c r="H94" s="31"/>
      <c r="I94" s="32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3" t="str">
        <f t="shared" si="3"/>
        <v>#REF!</v>
      </c>
      <c r="W94" s="47"/>
      <c r="X94" s="47"/>
      <c r="Y94" s="48"/>
      <c r="Z94" s="1"/>
      <c r="AA94" s="1"/>
    </row>
    <row r="95" ht="15.75" customHeight="1">
      <c r="A95" s="25">
        <f t="shared" si="1"/>
        <v>15</v>
      </c>
      <c r="B95" s="25">
        <f t="shared" si="4"/>
        <v>15</v>
      </c>
      <c r="C95" s="26"/>
      <c r="D95" s="27"/>
      <c r="E95" s="28"/>
      <c r="F95" s="28"/>
      <c r="G95" s="29"/>
      <c r="H95" s="31"/>
      <c r="I95" s="32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3" t="str">
        <f t="shared" si="3"/>
        <v>#REF!</v>
      </c>
      <c r="W95" s="47"/>
      <c r="X95" s="47"/>
      <c r="Y95" s="48"/>
      <c r="Z95" s="1"/>
      <c r="AA95" s="1"/>
    </row>
    <row r="96" ht="15.75" customHeight="1">
      <c r="A96" s="25">
        <f t="shared" si="1"/>
        <v>15</v>
      </c>
      <c r="B96" s="25">
        <f t="shared" si="4"/>
        <v>15</v>
      </c>
      <c r="C96" s="26"/>
      <c r="D96" s="27"/>
      <c r="E96" s="28"/>
      <c r="F96" s="28"/>
      <c r="G96" s="29"/>
      <c r="H96" s="31"/>
      <c r="I96" s="32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3" t="str">
        <f t="shared" si="3"/>
        <v>#REF!</v>
      </c>
      <c r="W96" s="47"/>
      <c r="X96" s="47"/>
      <c r="Y96" s="48"/>
      <c r="Z96" s="1"/>
      <c r="AA96" s="1"/>
    </row>
    <row r="97" ht="15.75" customHeight="1">
      <c r="A97" s="25">
        <f t="shared" si="1"/>
        <v>15</v>
      </c>
      <c r="B97" s="25">
        <f t="shared" si="4"/>
        <v>15</v>
      </c>
      <c r="C97" s="26"/>
      <c r="D97" s="27"/>
      <c r="E97" s="28"/>
      <c r="F97" s="28"/>
      <c r="G97" s="29"/>
      <c r="H97" s="31"/>
      <c r="I97" s="32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3" t="str">
        <f t="shared" si="3"/>
        <v>#REF!</v>
      </c>
      <c r="W97" s="47"/>
      <c r="X97" s="47"/>
      <c r="Y97" s="48"/>
      <c r="Z97" s="1"/>
      <c r="AA97" s="1"/>
    </row>
    <row r="98" ht="15.75" customHeight="1">
      <c r="A98" s="25">
        <f t="shared" si="1"/>
        <v>15</v>
      </c>
      <c r="B98" s="25">
        <f t="shared" si="4"/>
        <v>15</v>
      </c>
      <c r="C98" s="26"/>
      <c r="D98" s="27"/>
      <c r="E98" s="28"/>
      <c r="F98" s="28"/>
      <c r="G98" s="29"/>
      <c r="H98" s="31"/>
      <c r="I98" s="32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3" t="str">
        <f t="shared" si="3"/>
        <v>#REF!</v>
      </c>
      <c r="W98" s="47"/>
      <c r="X98" s="47"/>
      <c r="Y98" s="48"/>
      <c r="Z98" s="1"/>
      <c r="AA98" s="1"/>
    </row>
    <row r="99" ht="15.75" customHeight="1">
      <c r="A99" s="69"/>
      <c r="B99" s="69"/>
      <c r="C99" s="2"/>
      <c r="D99" s="47"/>
      <c r="E99" s="70"/>
      <c r="F99" s="70"/>
      <c r="G99" s="70"/>
      <c r="H99" s="44"/>
      <c r="I99" s="71" t="s">
        <v>229</v>
      </c>
      <c r="J99" s="72">
        <f>(COUNTIF(J3:J98,"O"))</f>
        <v>11</v>
      </c>
      <c r="K99" s="72">
        <f t="shared" ref="K99:L99" si="5">SUM(COUNTIF(K3:K98,"A") + COUNTIF(K3:K98,"T") + (COUNTIF(K3:K98,"O")/2))</f>
        <v>29</v>
      </c>
      <c r="L99" s="72">
        <f t="shared" si="5"/>
        <v>31</v>
      </c>
      <c r="M99" s="72">
        <f>(COUNTIF(M3:M98,"O"))</f>
        <v>7</v>
      </c>
      <c r="N99" s="72">
        <f t="shared" ref="N99:O99" si="6">SUM(COUNTIF(N3:N98,"A") + COUNTIF(N3:N98,"T") + (COUNTIF(N3:N98,"O")/2))</f>
        <v>26</v>
      </c>
      <c r="O99" s="72">
        <f t="shared" si="6"/>
        <v>26</v>
      </c>
      <c r="P99" s="72">
        <f>(COUNTIF(P3:P98,"O"))</f>
        <v>7</v>
      </c>
      <c r="Q99" s="72">
        <f t="shared" ref="Q99:R99" si="7">SUM(COUNTIF(Q3:Q98,"A") + COUNTIF(Q3:Q98,"T") + (COUNTIF(Q3:Q98,"O")/2))</f>
        <v>25</v>
      </c>
      <c r="R99" s="72">
        <f t="shared" si="7"/>
        <v>28</v>
      </c>
      <c r="S99" s="72">
        <f>(COUNTIF(S3:S98,"O"))</f>
        <v>10</v>
      </c>
      <c r="T99" s="72">
        <f t="shared" ref="T99:U99" si="8">SUM(COUNTIF(T3:T98,"A") + COUNTIF(T3:T98,"T") + (COUNTIF(T3:T98,"O")/2))</f>
        <v>24</v>
      </c>
      <c r="U99" s="72">
        <f t="shared" si="8"/>
        <v>24</v>
      </c>
      <c r="V99" s="73">
        <f t="shared" ref="V99:V102" si="10">AVERAGE(K99,L99,N99,O99,Q99,R99,T99)</f>
        <v>27</v>
      </c>
      <c r="W99" s="74" t="s">
        <v>230</v>
      </c>
      <c r="X99" s="42"/>
      <c r="Y99" s="47"/>
      <c r="Z99" s="47"/>
      <c r="AA99" s="47"/>
    </row>
    <row r="100" ht="15.75" customHeight="1">
      <c r="A100" s="69"/>
      <c r="B100" s="69"/>
      <c r="C100" s="2"/>
      <c r="D100" s="47"/>
      <c r="E100" s="70"/>
      <c r="F100" s="70"/>
      <c r="G100" s="70"/>
      <c r="H100" s="44"/>
      <c r="I100" s="75" t="s">
        <v>231</v>
      </c>
      <c r="J100" s="76">
        <f t="shared" ref="J100:U100" si="9">SUM(COUNTIF(J3:J98,"J"))</f>
        <v>0</v>
      </c>
      <c r="K100" s="76">
        <f t="shared" si="9"/>
        <v>8</v>
      </c>
      <c r="L100" s="76">
        <f t="shared" si="9"/>
        <v>7</v>
      </c>
      <c r="M100" s="76">
        <f t="shared" si="9"/>
        <v>0</v>
      </c>
      <c r="N100" s="76">
        <f t="shared" si="9"/>
        <v>13</v>
      </c>
      <c r="O100" s="76">
        <f t="shared" si="9"/>
        <v>12</v>
      </c>
      <c r="P100" s="76">
        <f t="shared" si="9"/>
        <v>0</v>
      </c>
      <c r="Q100" s="76">
        <f t="shared" si="9"/>
        <v>13</v>
      </c>
      <c r="R100" s="76">
        <f t="shared" si="9"/>
        <v>11</v>
      </c>
      <c r="S100" s="76">
        <f t="shared" si="9"/>
        <v>0</v>
      </c>
      <c r="T100" s="76">
        <f t="shared" si="9"/>
        <v>12</v>
      </c>
      <c r="U100" s="76">
        <f t="shared" si="9"/>
        <v>17</v>
      </c>
      <c r="V100" s="77">
        <f t="shared" si="10"/>
        <v>10.85714286</v>
      </c>
      <c r="W100" s="74" t="s">
        <v>232</v>
      </c>
      <c r="X100" s="42"/>
      <c r="Y100" s="47"/>
      <c r="Z100" s="47"/>
      <c r="AA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44"/>
      <c r="I101" s="78" t="s">
        <v>233</v>
      </c>
      <c r="J101" s="79">
        <f t="shared" ref="J101:U101" si="11">SUM(COUNTIF(J3:J98,"F"))</f>
        <v>0</v>
      </c>
      <c r="K101" s="79">
        <f t="shared" si="11"/>
        <v>2</v>
      </c>
      <c r="L101" s="79">
        <f t="shared" si="11"/>
        <v>1</v>
      </c>
      <c r="M101" s="79">
        <f t="shared" si="11"/>
        <v>0</v>
      </c>
      <c r="N101" s="79">
        <f t="shared" si="11"/>
        <v>0</v>
      </c>
      <c r="O101" s="79">
        <f t="shared" si="11"/>
        <v>1</v>
      </c>
      <c r="P101" s="79">
        <f t="shared" si="11"/>
        <v>0</v>
      </c>
      <c r="Q101" s="79">
        <f t="shared" si="11"/>
        <v>2</v>
      </c>
      <c r="R101" s="79">
        <f t="shared" si="11"/>
        <v>1</v>
      </c>
      <c r="S101" s="79">
        <f t="shared" si="11"/>
        <v>0</v>
      </c>
      <c r="T101" s="79">
        <f t="shared" si="11"/>
        <v>5</v>
      </c>
      <c r="U101" s="79">
        <f t="shared" si="11"/>
        <v>0</v>
      </c>
      <c r="V101" s="80">
        <f t="shared" si="10"/>
        <v>1.714285714</v>
      </c>
      <c r="W101" s="81" t="s">
        <v>234</v>
      </c>
      <c r="X101" s="5"/>
      <c r="Y101" s="47"/>
      <c r="Z101" s="47"/>
      <c r="AA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44"/>
      <c r="I102" s="82" t="s">
        <v>235</v>
      </c>
      <c r="J102" s="83"/>
      <c r="K102" s="84">
        <f t="shared" ref="K102:L102" si="12">(COUNTIF(K3:K98,"A") + COUNTIF(K3:K98,"T") + COUNTIF(K3:K98,"F") + COUNTIF(K3:K98,"J"))</f>
        <v>39</v>
      </c>
      <c r="L102" s="84">
        <f t="shared" si="12"/>
        <v>39</v>
      </c>
      <c r="M102" s="83"/>
      <c r="N102" s="84">
        <f t="shared" ref="N102:O102" si="13">(COUNTIF(N3:N98,"A") + COUNTIF(N3:N98,"T") + COUNTIF(N3:N98,"F") + COUNTIF(N3:N98,"J"))</f>
        <v>39</v>
      </c>
      <c r="O102" s="84">
        <f t="shared" si="13"/>
        <v>39</v>
      </c>
      <c r="P102" s="83"/>
      <c r="Q102" s="84">
        <f t="shared" ref="Q102:R102" si="14">(COUNTIF(Q3:Q98,"A") + COUNTIF(Q3:Q98,"T") + COUNTIF(Q3:Q98,"F") + COUNTIF(Q3:Q98,"J"))</f>
        <v>40</v>
      </c>
      <c r="R102" s="84">
        <f t="shared" si="14"/>
        <v>40</v>
      </c>
      <c r="S102" s="83"/>
      <c r="T102" s="84">
        <f t="shared" ref="T102:U102" si="15">(COUNTIF(T3:T98,"A") + COUNTIF(T3:T98,"T") + COUNTIF(T3:T98,"F") + COUNTIF(T3:T98,"J"))</f>
        <v>41</v>
      </c>
      <c r="U102" s="84">
        <f t="shared" si="15"/>
        <v>41</v>
      </c>
      <c r="V102" s="95">
        <f t="shared" si="10"/>
        <v>39.57142857</v>
      </c>
      <c r="W102" s="81" t="s">
        <v>236</v>
      </c>
      <c r="X102" s="5"/>
      <c r="Y102" s="47"/>
      <c r="Z102" s="47"/>
      <c r="AA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U$98"/>
  <mergeCells count="29">
    <mergeCell ref="C1:H1"/>
    <mergeCell ref="J1:U1"/>
    <mergeCell ref="W1:X1"/>
    <mergeCell ref="X3:AA3"/>
    <mergeCell ref="X4:AA4"/>
    <mergeCell ref="X5:AA5"/>
    <mergeCell ref="X6:AA6"/>
    <mergeCell ref="X7:AA7"/>
    <mergeCell ref="X8:AA8"/>
    <mergeCell ref="X9:AA9"/>
    <mergeCell ref="X10:AA10"/>
    <mergeCell ref="W42:X42"/>
    <mergeCell ref="Z42:AA42"/>
    <mergeCell ref="W43:X43"/>
    <mergeCell ref="W51:X51"/>
    <mergeCell ref="W52:X52"/>
    <mergeCell ref="W53:X53"/>
    <mergeCell ref="W54:X54"/>
    <mergeCell ref="W55:X55"/>
    <mergeCell ref="W56:X56"/>
    <mergeCell ref="W101:X101"/>
    <mergeCell ref="W102:X102"/>
    <mergeCell ref="W44:X44"/>
    <mergeCell ref="W45:X45"/>
    <mergeCell ref="W46:X46"/>
    <mergeCell ref="W47:X47"/>
    <mergeCell ref="W48:X48"/>
    <mergeCell ref="W49:X49"/>
    <mergeCell ref="W50:X50"/>
  </mergeCells>
  <conditionalFormatting sqref="J68:V73">
    <cfRule type="cellIs" dxfId="0" priority="1" operator="equal">
      <formula>"NP"</formula>
    </cfRule>
  </conditionalFormatting>
  <conditionalFormatting sqref="J3:U98 W3:W10">
    <cfRule type="cellIs" dxfId="0" priority="2" operator="equal">
      <formula>"NP"</formula>
    </cfRule>
  </conditionalFormatting>
  <conditionalFormatting sqref="Z44:AA45">
    <cfRule type="containsText" dxfId="1" priority="3" operator="containsText" text="Si">
      <formula>NOT(ISERROR(SEARCH(("Si"),(Z44))))</formula>
    </cfRule>
  </conditionalFormatting>
  <conditionalFormatting sqref="J3:U98 W3:W10 V68:V73">
    <cfRule type="containsText" dxfId="2" priority="4" operator="containsText" text="A">
      <formula>NOT(ISERROR(SEARCH(("A"),(J3))))</formula>
    </cfRule>
  </conditionalFormatting>
  <conditionalFormatting sqref="J3:U98 W3:W10 V68:V73">
    <cfRule type="containsText" dxfId="3" priority="5" operator="containsText" text="F">
      <formula>NOT(ISERROR(SEARCH(("F"),(J3))))</formula>
    </cfRule>
  </conditionalFormatting>
  <conditionalFormatting sqref="J3:U98 W3:W10 V68:V73">
    <cfRule type="containsText" dxfId="4" priority="6" operator="containsText" text="J">
      <formula>NOT(ISERROR(SEARCH(("J"),(J3))))</formula>
    </cfRule>
  </conditionalFormatting>
  <conditionalFormatting sqref="J3:U98 W3:W10 V68:V73">
    <cfRule type="containsText" dxfId="5" priority="7" operator="containsText" text="R">
      <formula>NOT(ISERROR(SEARCH(("R"),(J3))))</formula>
    </cfRule>
  </conditionalFormatting>
  <conditionalFormatting sqref="J3:U98 W3:W10 V68:V73">
    <cfRule type="containsText" dxfId="6" priority="8" operator="containsText" text="L">
      <formula>NOT(ISERROR(SEARCH(("L"),(J3))))</formula>
    </cfRule>
  </conditionalFormatting>
  <conditionalFormatting sqref="Y24:Y25 Y44:Y56 Y67:Y98">
    <cfRule type="expression" dxfId="7" priority="9">
      <formula>AND(ISNUMBER(Y24),TRUNC(Y24)&lt;TODAY())</formula>
    </cfRule>
  </conditionalFormatting>
  <conditionalFormatting sqref="Y24:Y25 Y44:Y56 Y67:Y98">
    <cfRule type="expression" dxfId="8" priority="10">
      <formula>AND(ISNUMBER(Y24),TRUNC(Y24)&gt;TODAY())</formula>
    </cfRule>
  </conditionalFormatting>
  <conditionalFormatting sqref="Y24:Y25 Y44:Y56 Y67:Y98">
    <cfRule type="timePeriod" dxfId="9" priority="11" timePeriod="today"/>
  </conditionalFormatting>
  <conditionalFormatting sqref="Z24:AA24 Z44:AA56 Z67:AA98">
    <cfRule type="containsText" dxfId="7" priority="12" operator="containsText" text="No">
      <formula>NOT(ISERROR(SEARCH(("No"),(Z24))))</formula>
    </cfRule>
  </conditionalFormatting>
  <conditionalFormatting sqref="J3:U98 W3:W10 V68:V73">
    <cfRule type="containsText" dxfId="10" priority="13" operator="containsText" text="T">
      <formula>NOT(ISERROR(SEARCH(("T"),(J3))))</formula>
    </cfRule>
  </conditionalFormatting>
  <conditionalFormatting sqref="Z24:AA24 Z44:AA56 Z67:AA98">
    <cfRule type="containsText" dxfId="1" priority="14" operator="containsText" text="Sí">
      <formula>NOT(ISERROR(SEARCH(("Sí"),(Z24))))</formula>
    </cfRule>
  </conditionalFormatting>
  <conditionalFormatting sqref="J3:U98 W3:W10 V68:V73">
    <cfRule type="containsText" dxfId="11" priority="15" operator="containsText" text="O">
      <formula>NOT(ISERROR(SEARCH(("O"),(J3))))</formula>
    </cfRule>
  </conditionalFormatting>
  <conditionalFormatting sqref="J102:U102">
    <cfRule type="cellIs" dxfId="1" priority="16" operator="equal">
      <formula>"OK"</formula>
    </cfRule>
  </conditionalFormatting>
  <conditionalFormatting sqref="J102:U102">
    <cfRule type="cellIs" dxfId="7" priority="17" operator="equal">
      <formula>"NO"</formula>
    </cfRule>
  </conditionalFormatting>
  <conditionalFormatting sqref="V3:V98">
    <cfRule type="cellIs" dxfId="2" priority="18" operator="greaterThanOrEqual">
      <formula>"75%"</formula>
    </cfRule>
  </conditionalFormatting>
  <conditionalFormatting sqref="V3:V98">
    <cfRule type="cellIs" dxfId="12" priority="19" operator="lessThan">
      <formula>"50%"</formula>
    </cfRule>
  </conditionalFormatting>
  <conditionalFormatting sqref="J3:U98">
    <cfRule type="expression" dxfId="13" priority="20">
      <formula>LEN(TRIM(J3))=0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J3:U98">
      <formula1>"A,J,T,F,O,L,R,NP"</formula1>
    </dataValidation>
  </dataValidations>
  <hyperlinks>
    <hyperlink display="Licencia - ver Licencias" location="Junio!W42:AA56" ref="X6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43"/>
    <col customWidth="1" min="4" max="4" width="12.86"/>
    <col customWidth="1" min="5" max="6" width="6.71"/>
    <col customWidth="1" min="7" max="7" width="3.71"/>
    <col customWidth="1" min="8" max="8" width="13.29"/>
    <col customWidth="1" min="9" max="9" width="10.86"/>
    <col customWidth="1" min="10" max="11" width="6.57"/>
    <col customWidth="1" min="12" max="12" width="5.43"/>
    <col customWidth="1" min="13" max="23" width="6.57"/>
    <col customWidth="1" min="24" max="24" width="5.86"/>
    <col customWidth="1" min="25" max="25" width="15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1"/>
      <c r="J1" s="6" t="s">
        <v>269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>
        <v>10.0</v>
      </c>
      <c r="Y1" s="96" t="s">
        <v>6</v>
      </c>
      <c r="Z1" s="97"/>
      <c r="AA1" s="44"/>
      <c r="AB1" s="90" t="s">
        <v>253</v>
      </c>
      <c r="AC1" s="91"/>
    </row>
    <row r="2" ht="15.75" customHeight="1">
      <c r="A2" s="12"/>
      <c r="B2" s="12"/>
      <c r="C2" s="13" t="s">
        <v>8</v>
      </c>
      <c r="D2" s="13" t="s">
        <v>9</v>
      </c>
      <c r="E2" s="14" t="s">
        <v>10</v>
      </c>
      <c r="F2" s="14" t="s">
        <v>11</v>
      </c>
      <c r="G2" s="15"/>
      <c r="H2" s="17" t="s">
        <v>14</v>
      </c>
      <c r="I2" s="17" t="s">
        <v>15</v>
      </c>
      <c r="J2" s="18">
        <v>43221.0</v>
      </c>
      <c r="K2" s="18">
        <v>43224.0</v>
      </c>
      <c r="L2" s="19">
        <v>43226.0</v>
      </c>
      <c r="M2" s="18">
        <v>43228.0</v>
      </c>
      <c r="N2" s="18">
        <v>43230.0</v>
      </c>
      <c r="O2" s="19">
        <v>43233.0</v>
      </c>
      <c r="P2" s="18">
        <v>43235.0</v>
      </c>
      <c r="Q2" s="18">
        <v>43237.0</v>
      </c>
      <c r="R2" s="19">
        <v>43240.0</v>
      </c>
      <c r="S2" s="98">
        <v>43242.0</v>
      </c>
      <c r="T2" s="20">
        <v>43244.0</v>
      </c>
      <c r="U2" s="99">
        <v>43247.0</v>
      </c>
      <c r="V2" s="20">
        <v>43249.0</v>
      </c>
      <c r="W2" s="20">
        <v>43251.0</v>
      </c>
      <c r="X2" s="21" t="s">
        <v>16</v>
      </c>
      <c r="Y2" s="22"/>
      <c r="Z2" s="22"/>
      <c r="AA2" s="23"/>
      <c r="AB2" s="24"/>
      <c r="AC2" s="22"/>
    </row>
    <row r="3" ht="15.75" customHeight="1">
      <c r="A3" s="25">
        <f t="shared" ref="A3:A98" si="1">IF(H3="ALTM",1,IF(H3="1° P",2,IF(H3="1° P - 1°M",3,IF(H3="1° P - 2°M",4,IF(H3="2° P",5,IF(H3="2° P - 3°M",6,IF(H3="2° P - 4°M",7,IF(H3="1° PP",8,IF(H3="1° PP - 1°Pa",9,IF(H3="1° PP - 2°Pa",10,IF(H3="Espectro",11,IF(H3="Caballeria",12,IF(H3="FAZR",13,15)))))))))))))</f>
        <v>1</v>
      </c>
      <c r="B3" s="25">
        <f t="shared" ref="B3:B48" si="2">IF(C3="Cap.",1,IF(C3="Tte.",2,IF(C3="Alf.",3,IF(C3="SgtM.",4,IF(C3="Sgt1.",5,IF(C3="Sgt.",6,IF(C3="Cbo1.",7,IF(C3="Cbo.",8,IF(C3="Dis.",9,IF(C3="Inf.",10,IF(C3="Rct.",11,15)))))))))))</f>
        <v>2</v>
      </c>
      <c r="C3" s="26" t="s">
        <v>240</v>
      </c>
      <c r="D3" s="27" t="s">
        <v>18</v>
      </c>
      <c r="E3" s="28" t="s">
        <v>19</v>
      </c>
      <c r="F3" s="28"/>
      <c r="G3" s="29" t="s">
        <v>20</v>
      </c>
      <c r="H3" s="31" t="s">
        <v>22</v>
      </c>
      <c r="I3" s="32" t="s">
        <v>23</v>
      </c>
      <c r="J3" s="42" t="s">
        <v>21</v>
      </c>
      <c r="K3" s="42" t="s">
        <v>21</v>
      </c>
      <c r="L3" s="42" t="s">
        <v>58</v>
      </c>
      <c r="M3" s="42" t="s">
        <v>21</v>
      </c>
      <c r="N3" s="42" t="s">
        <v>21</v>
      </c>
      <c r="O3" s="42"/>
      <c r="P3" s="42" t="s">
        <v>37</v>
      </c>
      <c r="Q3" s="42" t="s">
        <v>37</v>
      </c>
      <c r="R3" s="42"/>
      <c r="S3" s="42" t="s">
        <v>37</v>
      </c>
      <c r="T3" s="42" t="s">
        <v>37</v>
      </c>
      <c r="U3" s="42" t="s">
        <v>37</v>
      </c>
      <c r="V3" s="42" t="s">
        <v>37</v>
      </c>
      <c r="W3" s="42" t="s">
        <v>37</v>
      </c>
      <c r="X3" s="33">
        <f t="shared" ref="X3:X98" si="3">SUM( (COUNTIF(J3,"A") + (COUNTIF(J3,"T")/2) + (COUNTIF(J3,"O")/2) )+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0.45</v>
      </c>
      <c r="Y3" s="86" t="s">
        <v>21</v>
      </c>
      <c r="Z3" s="35" t="s">
        <v>25</v>
      </c>
      <c r="AA3" s="36"/>
      <c r="AB3" s="36"/>
      <c r="AC3" s="37"/>
    </row>
    <row r="4" ht="15.75" customHeight="1">
      <c r="A4" s="25">
        <f t="shared" si="1"/>
        <v>1</v>
      </c>
      <c r="B4" s="25">
        <f t="shared" si="2"/>
        <v>1</v>
      </c>
      <c r="C4" s="26" t="s">
        <v>17</v>
      </c>
      <c r="D4" s="27" t="s">
        <v>35</v>
      </c>
      <c r="E4" s="28" t="s">
        <v>19</v>
      </c>
      <c r="F4" s="28"/>
      <c r="G4" s="29" t="s">
        <v>20</v>
      </c>
      <c r="H4" s="31" t="s">
        <v>22</v>
      </c>
      <c r="I4" s="32" t="s">
        <v>101</v>
      </c>
      <c r="J4" s="42" t="s">
        <v>30</v>
      </c>
      <c r="K4" s="42" t="s">
        <v>30</v>
      </c>
      <c r="L4" s="42" t="s">
        <v>30</v>
      </c>
      <c r="M4" s="42" t="s">
        <v>30</v>
      </c>
      <c r="N4" s="42" t="s">
        <v>30</v>
      </c>
      <c r="O4" s="42" t="s">
        <v>30</v>
      </c>
      <c r="P4" s="42" t="s">
        <v>30</v>
      </c>
      <c r="Q4" s="42" t="s">
        <v>30</v>
      </c>
      <c r="R4" s="42" t="s">
        <v>30</v>
      </c>
      <c r="S4" s="42" t="s">
        <v>30</v>
      </c>
      <c r="T4" s="42" t="s">
        <v>30</v>
      </c>
      <c r="U4" s="42" t="s">
        <v>30</v>
      </c>
      <c r="V4" s="42" t="s">
        <v>30</v>
      </c>
      <c r="W4" s="42" t="s">
        <v>30</v>
      </c>
      <c r="X4" s="33">
        <f t="shared" si="3"/>
        <v>0</v>
      </c>
      <c r="Y4" s="42" t="s">
        <v>33</v>
      </c>
      <c r="Z4" s="38" t="s">
        <v>34</v>
      </c>
      <c r="AA4" s="4"/>
      <c r="AB4" s="4"/>
      <c r="AC4" s="5"/>
    </row>
    <row r="5" ht="15.75" customHeight="1">
      <c r="A5" s="25">
        <f t="shared" si="1"/>
        <v>1</v>
      </c>
      <c r="B5" s="25">
        <f t="shared" si="2"/>
        <v>1</v>
      </c>
      <c r="C5" s="26" t="s">
        <v>17</v>
      </c>
      <c r="D5" s="27" t="s">
        <v>32</v>
      </c>
      <c r="E5" s="28" t="s">
        <v>19</v>
      </c>
      <c r="F5" s="28"/>
      <c r="G5" s="29" t="s">
        <v>20</v>
      </c>
      <c r="H5" s="31" t="s">
        <v>22</v>
      </c>
      <c r="I5" s="32" t="s">
        <v>101</v>
      </c>
      <c r="J5" s="42" t="s">
        <v>30</v>
      </c>
      <c r="K5" s="42" t="s">
        <v>30</v>
      </c>
      <c r="L5" s="42" t="s">
        <v>30</v>
      </c>
      <c r="M5" s="42" t="s">
        <v>30</v>
      </c>
      <c r="N5" s="42" t="s">
        <v>30</v>
      </c>
      <c r="O5" s="42" t="s">
        <v>30</v>
      </c>
      <c r="P5" s="42" t="s">
        <v>30</v>
      </c>
      <c r="Q5" s="42" t="s">
        <v>30</v>
      </c>
      <c r="R5" s="42" t="s">
        <v>30</v>
      </c>
      <c r="S5" s="42" t="s">
        <v>30</v>
      </c>
      <c r="T5" s="42" t="s">
        <v>30</v>
      </c>
      <c r="U5" s="42" t="s">
        <v>30</v>
      </c>
      <c r="V5" s="42" t="s">
        <v>30</v>
      </c>
      <c r="W5" s="42" t="s">
        <v>30</v>
      </c>
      <c r="X5" s="33">
        <f t="shared" si="3"/>
        <v>0</v>
      </c>
      <c r="Y5" s="42" t="s">
        <v>24</v>
      </c>
      <c r="Z5" s="38" t="s">
        <v>36</v>
      </c>
      <c r="AA5" s="4"/>
      <c r="AB5" s="4"/>
      <c r="AC5" s="5"/>
    </row>
    <row r="6" ht="15.75" customHeight="1">
      <c r="A6" s="25">
        <f t="shared" si="1"/>
        <v>1</v>
      </c>
      <c r="B6" s="25">
        <f t="shared" si="2"/>
        <v>3</v>
      </c>
      <c r="C6" s="26" t="s">
        <v>26</v>
      </c>
      <c r="D6" s="27" t="s">
        <v>27</v>
      </c>
      <c r="E6" s="28" t="s">
        <v>28</v>
      </c>
      <c r="F6" s="28" t="s">
        <v>29</v>
      </c>
      <c r="G6" s="29" t="s">
        <v>20</v>
      </c>
      <c r="H6" s="31" t="s">
        <v>22</v>
      </c>
      <c r="I6" s="32" t="s">
        <v>101</v>
      </c>
      <c r="J6" s="42" t="s">
        <v>30</v>
      </c>
      <c r="K6" s="42" t="s">
        <v>30</v>
      </c>
      <c r="L6" s="42" t="s">
        <v>30</v>
      </c>
      <c r="M6" s="42" t="s">
        <v>30</v>
      </c>
      <c r="N6" s="42" t="s">
        <v>30</v>
      </c>
      <c r="O6" s="42" t="s">
        <v>30</v>
      </c>
      <c r="P6" s="42" t="s">
        <v>30</v>
      </c>
      <c r="Q6" s="42" t="s">
        <v>30</v>
      </c>
      <c r="R6" s="42" t="s">
        <v>30</v>
      </c>
      <c r="S6" s="42" t="s">
        <v>30</v>
      </c>
      <c r="T6" s="42" t="s">
        <v>30</v>
      </c>
      <c r="U6" s="42" t="s">
        <v>30</v>
      </c>
      <c r="V6" s="42" t="s">
        <v>30</v>
      </c>
      <c r="W6" s="42" t="s">
        <v>30</v>
      </c>
      <c r="X6" s="33">
        <f t="shared" si="3"/>
        <v>0</v>
      </c>
      <c r="Y6" s="42" t="s">
        <v>37</v>
      </c>
      <c r="Z6" s="40" t="s">
        <v>44</v>
      </c>
      <c r="AA6" s="4"/>
      <c r="AB6" s="4"/>
      <c r="AC6" s="5"/>
    </row>
    <row r="7" ht="15.75" customHeight="1">
      <c r="A7" s="25">
        <f t="shared" si="1"/>
        <v>2</v>
      </c>
      <c r="B7" s="25">
        <f t="shared" si="2"/>
        <v>5</v>
      </c>
      <c r="C7" s="26" t="s">
        <v>184</v>
      </c>
      <c r="D7" s="27" t="s">
        <v>40</v>
      </c>
      <c r="E7" s="28" t="s">
        <v>41</v>
      </c>
      <c r="F7" s="28"/>
      <c r="G7" s="29" t="s">
        <v>20</v>
      </c>
      <c r="H7" s="31" t="s">
        <v>42</v>
      </c>
      <c r="I7" s="32" t="s">
        <v>43</v>
      </c>
      <c r="J7" s="42" t="s">
        <v>21</v>
      </c>
      <c r="K7" s="42" t="s">
        <v>21</v>
      </c>
      <c r="L7" s="42"/>
      <c r="M7" s="42" t="s">
        <v>52</v>
      </c>
      <c r="N7" s="42" t="s">
        <v>21</v>
      </c>
      <c r="O7" s="42"/>
      <c r="P7" s="42" t="s">
        <v>21</v>
      </c>
      <c r="Q7" s="42" t="s">
        <v>52</v>
      </c>
      <c r="R7" s="42"/>
      <c r="S7" s="42" t="s">
        <v>21</v>
      </c>
      <c r="T7" s="42" t="s">
        <v>21</v>
      </c>
      <c r="U7" s="42"/>
      <c r="V7" s="42" t="s">
        <v>21</v>
      </c>
      <c r="W7" s="42" t="s">
        <v>52</v>
      </c>
      <c r="X7" s="33">
        <f t="shared" si="3"/>
        <v>0.85</v>
      </c>
      <c r="Y7" s="42" t="s">
        <v>30</v>
      </c>
      <c r="Z7" s="38" t="s">
        <v>45</v>
      </c>
      <c r="AA7" s="4"/>
      <c r="AB7" s="4"/>
      <c r="AC7" s="5"/>
    </row>
    <row r="8" ht="15.75" customHeight="1">
      <c r="A8" s="25">
        <f t="shared" si="1"/>
        <v>3</v>
      </c>
      <c r="B8" s="25">
        <f t="shared" si="2"/>
        <v>7</v>
      </c>
      <c r="C8" s="26" t="s">
        <v>46</v>
      </c>
      <c r="D8" s="27" t="s">
        <v>100</v>
      </c>
      <c r="E8" s="28" t="s">
        <v>41</v>
      </c>
      <c r="F8" s="28" t="s">
        <v>28</v>
      </c>
      <c r="G8" s="29" t="s">
        <v>20</v>
      </c>
      <c r="H8" s="31" t="s">
        <v>50</v>
      </c>
      <c r="I8" s="32" t="s">
        <v>51</v>
      </c>
      <c r="J8" s="42" t="s">
        <v>37</v>
      </c>
      <c r="K8" s="42" t="s">
        <v>24</v>
      </c>
      <c r="L8" s="42" t="s">
        <v>58</v>
      </c>
      <c r="M8" s="42" t="s">
        <v>21</v>
      </c>
      <c r="N8" s="42" t="s">
        <v>24</v>
      </c>
      <c r="O8" s="42"/>
      <c r="P8" s="42" t="s">
        <v>24</v>
      </c>
      <c r="Q8" s="42" t="s">
        <v>24</v>
      </c>
      <c r="R8" s="42" t="s">
        <v>58</v>
      </c>
      <c r="S8" s="42" t="s">
        <v>21</v>
      </c>
      <c r="T8" s="42" t="s">
        <v>21</v>
      </c>
      <c r="U8" s="42"/>
      <c r="V8" s="42" t="s">
        <v>21</v>
      </c>
      <c r="W8" s="42" t="s">
        <v>24</v>
      </c>
      <c r="X8" s="33">
        <f t="shared" si="3"/>
        <v>0.5</v>
      </c>
      <c r="Y8" s="42" t="s">
        <v>52</v>
      </c>
      <c r="Z8" s="38" t="s">
        <v>53</v>
      </c>
      <c r="AA8" s="4"/>
      <c r="AB8" s="4"/>
      <c r="AC8" s="5"/>
    </row>
    <row r="9" ht="15.75" customHeight="1">
      <c r="A9" s="25">
        <f t="shared" si="1"/>
        <v>3</v>
      </c>
      <c r="B9" s="25">
        <f t="shared" si="2"/>
        <v>9</v>
      </c>
      <c r="C9" s="26" t="s">
        <v>64</v>
      </c>
      <c r="D9" s="27" t="s">
        <v>47</v>
      </c>
      <c r="E9" s="28" t="s">
        <v>41</v>
      </c>
      <c r="F9" s="28" t="s">
        <v>48</v>
      </c>
      <c r="G9" s="29" t="s">
        <v>49</v>
      </c>
      <c r="H9" s="31" t="s">
        <v>50</v>
      </c>
      <c r="I9" s="32" t="s">
        <v>57</v>
      </c>
      <c r="J9" s="42" t="s">
        <v>21</v>
      </c>
      <c r="K9" s="42" t="s">
        <v>21</v>
      </c>
      <c r="L9" s="42" t="s">
        <v>58</v>
      </c>
      <c r="M9" s="42" t="s">
        <v>21</v>
      </c>
      <c r="N9" s="42" t="s">
        <v>21</v>
      </c>
      <c r="O9" s="42"/>
      <c r="P9" s="42" t="s">
        <v>21</v>
      </c>
      <c r="Q9" s="42" t="s">
        <v>21</v>
      </c>
      <c r="R9" s="42"/>
      <c r="S9" s="42" t="s">
        <v>21</v>
      </c>
      <c r="T9" s="42" t="s">
        <v>21</v>
      </c>
      <c r="U9" s="42"/>
      <c r="V9" s="42" t="s">
        <v>21</v>
      </c>
      <c r="W9" s="42" t="s">
        <v>21</v>
      </c>
      <c r="X9" s="33">
        <f t="shared" si="3"/>
        <v>1.05</v>
      </c>
      <c r="Y9" s="42" t="s">
        <v>58</v>
      </c>
      <c r="Z9" s="38" t="s">
        <v>59</v>
      </c>
      <c r="AA9" s="4"/>
      <c r="AB9" s="4"/>
      <c r="AC9" s="5"/>
    </row>
    <row r="10" ht="15.75" customHeight="1">
      <c r="A10" s="25">
        <f t="shared" si="1"/>
        <v>3</v>
      </c>
      <c r="B10" s="25">
        <f t="shared" si="2"/>
        <v>9</v>
      </c>
      <c r="C10" s="26" t="s">
        <v>64</v>
      </c>
      <c r="D10" s="27" t="s">
        <v>121</v>
      </c>
      <c r="E10" s="28" t="s">
        <v>41</v>
      </c>
      <c r="F10" s="28" t="s">
        <v>19</v>
      </c>
      <c r="G10" s="29" t="s">
        <v>49</v>
      </c>
      <c r="H10" s="31" t="s">
        <v>50</v>
      </c>
      <c r="I10" s="32" t="s">
        <v>63</v>
      </c>
      <c r="J10" s="42" t="s">
        <v>21</v>
      </c>
      <c r="K10" s="42" t="s">
        <v>21</v>
      </c>
      <c r="L10" s="42"/>
      <c r="M10" s="42" t="s">
        <v>21</v>
      </c>
      <c r="N10" s="42" t="s">
        <v>21</v>
      </c>
      <c r="O10" s="42"/>
      <c r="P10" s="42" t="s">
        <v>24</v>
      </c>
      <c r="Q10" s="42" t="s">
        <v>21</v>
      </c>
      <c r="R10" s="42" t="s">
        <v>58</v>
      </c>
      <c r="S10" s="42" t="s">
        <v>24</v>
      </c>
      <c r="T10" s="42" t="s">
        <v>24</v>
      </c>
      <c r="U10" s="42"/>
      <c r="V10" s="42" t="s">
        <v>21</v>
      </c>
      <c r="W10" s="42" t="s">
        <v>21</v>
      </c>
      <c r="X10" s="33">
        <f t="shared" si="3"/>
        <v>0.75</v>
      </c>
      <c r="Y10" s="30" t="s">
        <v>65</v>
      </c>
      <c r="Z10" s="38" t="s">
        <v>66</v>
      </c>
      <c r="AA10" s="4"/>
      <c r="AB10" s="4"/>
      <c r="AC10" s="5"/>
    </row>
    <row r="11" ht="15.75" customHeight="1">
      <c r="A11" s="25">
        <f t="shared" si="1"/>
        <v>3</v>
      </c>
      <c r="B11" s="25">
        <f t="shared" si="2"/>
        <v>9</v>
      </c>
      <c r="C11" s="26" t="s">
        <v>64</v>
      </c>
      <c r="D11" s="27" t="s">
        <v>67</v>
      </c>
      <c r="E11" s="28" t="s">
        <v>56</v>
      </c>
      <c r="F11" s="28" t="s">
        <v>19</v>
      </c>
      <c r="G11" s="29" t="s">
        <v>20</v>
      </c>
      <c r="H11" s="31" t="s">
        <v>50</v>
      </c>
      <c r="I11" s="32" t="s">
        <v>68</v>
      </c>
      <c r="J11" s="42" t="s">
        <v>21</v>
      </c>
      <c r="K11" s="42" t="s">
        <v>21</v>
      </c>
      <c r="L11" s="42"/>
      <c r="M11" s="42" t="s">
        <v>24</v>
      </c>
      <c r="N11" s="42" t="s">
        <v>21</v>
      </c>
      <c r="O11" s="42"/>
      <c r="P11" s="42" t="s">
        <v>24</v>
      </c>
      <c r="Q11" s="42" t="s">
        <v>52</v>
      </c>
      <c r="R11" s="42"/>
      <c r="S11" s="42" t="s">
        <v>24</v>
      </c>
      <c r="T11" s="42" t="s">
        <v>21</v>
      </c>
      <c r="U11" s="42"/>
      <c r="V11" s="42" t="s">
        <v>24</v>
      </c>
      <c r="W11" s="42" t="s">
        <v>52</v>
      </c>
      <c r="X11" s="33">
        <f t="shared" si="3"/>
        <v>0.5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84</v>
      </c>
      <c r="D12" s="27" t="s">
        <v>55</v>
      </c>
      <c r="E12" s="28" t="s">
        <v>41</v>
      </c>
      <c r="F12" s="28" t="s">
        <v>19</v>
      </c>
      <c r="G12" s="29" t="s">
        <v>49</v>
      </c>
      <c r="H12" s="31" t="s">
        <v>50</v>
      </c>
      <c r="I12" s="32" t="s">
        <v>68</v>
      </c>
      <c r="J12" s="42" t="s">
        <v>37</v>
      </c>
      <c r="K12" s="42" t="s">
        <v>37</v>
      </c>
      <c r="L12" s="42" t="s">
        <v>37</v>
      </c>
      <c r="M12" s="42" t="s">
        <v>37</v>
      </c>
      <c r="N12" s="42" t="s">
        <v>37</v>
      </c>
      <c r="O12" s="42" t="s">
        <v>37</v>
      </c>
      <c r="P12" s="42" t="s">
        <v>21</v>
      </c>
      <c r="Q12" s="42" t="s">
        <v>21</v>
      </c>
      <c r="R12" s="42" t="s">
        <v>58</v>
      </c>
      <c r="S12" s="42" t="s">
        <v>21</v>
      </c>
      <c r="T12" s="42" t="s">
        <v>21</v>
      </c>
      <c r="U12" s="42"/>
      <c r="V12" s="42" t="s">
        <v>24</v>
      </c>
      <c r="W12" s="42" t="s">
        <v>21</v>
      </c>
      <c r="X12" s="33">
        <f t="shared" si="3"/>
        <v>0.55</v>
      </c>
      <c r="Y12" s="43" t="s">
        <v>72</v>
      </c>
      <c r="Z12" s="43" t="s">
        <v>73</v>
      </c>
      <c r="AA12" s="44"/>
      <c r="AB12" s="43" t="s">
        <v>74</v>
      </c>
      <c r="AC12" s="43" t="s">
        <v>73</v>
      </c>
    </row>
    <row r="13" ht="15.75" customHeight="1">
      <c r="A13" s="25">
        <f t="shared" si="1"/>
        <v>3</v>
      </c>
      <c r="B13" s="25">
        <f t="shared" si="2"/>
        <v>10</v>
      </c>
      <c r="C13" s="26" t="s">
        <v>84</v>
      </c>
      <c r="D13" s="27" t="s">
        <v>69</v>
      </c>
      <c r="E13" s="28" t="s">
        <v>19</v>
      </c>
      <c r="F13" s="28"/>
      <c r="G13" s="29" t="s">
        <v>71</v>
      </c>
      <c r="H13" s="31" t="s">
        <v>50</v>
      </c>
      <c r="I13" s="32" t="s">
        <v>68</v>
      </c>
      <c r="J13" s="42" t="s">
        <v>21</v>
      </c>
      <c r="K13" s="42" t="s">
        <v>21</v>
      </c>
      <c r="L13" s="42"/>
      <c r="M13" s="42" t="s">
        <v>21</v>
      </c>
      <c r="N13" s="42" t="s">
        <v>21</v>
      </c>
      <c r="O13" s="42"/>
      <c r="P13" s="42" t="s">
        <v>21</v>
      </c>
      <c r="Q13" s="42" t="s">
        <v>24</v>
      </c>
      <c r="R13" s="42" t="s">
        <v>58</v>
      </c>
      <c r="S13" s="42" t="s">
        <v>21</v>
      </c>
      <c r="T13" s="42" t="s">
        <v>24</v>
      </c>
      <c r="U13" s="42"/>
      <c r="V13" s="42" t="s">
        <v>21</v>
      </c>
      <c r="W13" s="42" t="s">
        <v>24</v>
      </c>
      <c r="X13" s="33">
        <f t="shared" si="3"/>
        <v>0.75</v>
      </c>
      <c r="Y13" s="45" t="s">
        <v>77</v>
      </c>
      <c r="Z13" s="46">
        <f>COUNTIF(H3:H98,"1° P - 1°M")</f>
        <v>12</v>
      </c>
      <c r="AA13" s="44"/>
      <c r="AB13" s="45" t="s">
        <v>78</v>
      </c>
      <c r="AC13" s="46">
        <f>COUNTIF(C3:C98,"Rct.")</f>
        <v>17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79</v>
      </c>
      <c r="D14" s="27" t="s">
        <v>203</v>
      </c>
      <c r="E14" s="28" t="s">
        <v>61</v>
      </c>
      <c r="F14" s="28" t="s">
        <v>19</v>
      </c>
      <c r="G14" s="29" t="s">
        <v>71</v>
      </c>
      <c r="H14" s="31" t="s">
        <v>50</v>
      </c>
      <c r="I14" s="32" t="s">
        <v>68</v>
      </c>
      <c r="J14" s="42" t="s">
        <v>24</v>
      </c>
      <c r="K14" s="42" t="s">
        <v>21</v>
      </c>
      <c r="L14" s="42" t="s">
        <v>58</v>
      </c>
      <c r="M14" s="42" t="s">
        <v>52</v>
      </c>
      <c r="N14" s="42" t="s">
        <v>21</v>
      </c>
      <c r="O14" s="42"/>
      <c r="P14" s="42" t="s">
        <v>24</v>
      </c>
      <c r="Q14" s="42" t="s">
        <v>24</v>
      </c>
      <c r="R14" s="42" t="s">
        <v>58</v>
      </c>
      <c r="S14" s="42" t="s">
        <v>52</v>
      </c>
      <c r="T14" s="42" t="s">
        <v>21</v>
      </c>
      <c r="U14" s="42"/>
      <c r="V14" s="42" t="s">
        <v>24</v>
      </c>
      <c r="W14" s="42" t="s">
        <v>21</v>
      </c>
      <c r="X14" s="33">
        <f t="shared" si="3"/>
        <v>0.6</v>
      </c>
      <c r="Y14" s="45" t="s">
        <v>81</v>
      </c>
      <c r="Z14" s="46">
        <f>COUNTIF(H3:H98,"1° P - 2°M")</f>
        <v>11</v>
      </c>
      <c r="AA14" s="44"/>
      <c r="AB14" s="45" t="s">
        <v>82</v>
      </c>
      <c r="AC14" s="46">
        <f>COUNTIF(C3:C98,"Inf.")</f>
        <v>11</v>
      </c>
    </row>
    <row r="15" ht="15.75" customHeight="1">
      <c r="A15" s="25">
        <f t="shared" si="1"/>
        <v>3</v>
      </c>
      <c r="B15" s="25">
        <f t="shared" si="2"/>
        <v>11</v>
      </c>
      <c r="C15" s="26" t="s">
        <v>79</v>
      </c>
      <c r="D15" s="27" t="s">
        <v>109</v>
      </c>
      <c r="E15" s="28" t="s">
        <v>19</v>
      </c>
      <c r="F15" s="28"/>
      <c r="G15" s="29" t="s">
        <v>20</v>
      </c>
      <c r="H15" s="31" t="s">
        <v>50</v>
      </c>
      <c r="I15" s="32" t="s">
        <v>68</v>
      </c>
      <c r="J15" s="42" t="s">
        <v>65</v>
      </c>
      <c r="K15" s="42" t="s">
        <v>65</v>
      </c>
      <c r="L15" s="42"/>
      <c r="M15" s="42" t="s">
        <v>65</v>
      </c>
      <c r="N15" s="42" t="s">
        <v>65</v>
      </c>
      <c r="O15" s="42"/>
      <c r="P15" s="42" t="s">
        <v>65</v>
      </c>
      <c r="Q15" s="42" t="s">
        <v>65</v>
      </c>
      <c r="R15" s="42"/>
      <c r="S15" s="42" t="s">
        <v>65</v>
      </c>
      <c r="T15" s="42" t="s">
        <v>65</v>
      </c>
      <c r="U15" s="42"/>
      <c r="V15" s="42" t="s">
        <v>65</v>
      </c>
      <c r="W15" s="42" t="s">
        <v>21</v>
      </c>
      <c r="X15" s="33">
        <f t="shared" si="3"/>
        <v>0.1</v>
      </c>
      <c r="Y15" s="45" t="s">
        <v>86</v>
      </c>
      <c r="Z15" s="46">
        <f>COUNTIF(H3:H98,"1° PP - 1°Pa")</f>
        <v>7</v>
      </c>
      <c r="AA15" s="44"/>
      <c r="AB15" s="45" t="s">
        <v>87</v>
      </c>
      <c r="AC15" s="46">
        <f>COUNTIF(C3:C98,"Dis.")</f>
        <v>16</v>
      </c>
    </row>
    <row r="16" ht="15.75" customHeight="1">
      <c r="A16" s="25">
        <f t="shared" si="1"/>
        <v>3</v>
      </c>
      <c r="B16" s="25">
        <f t="shared" si="2"/>
        <v>11</v>
      </c>
      <c r="C16" s="26" t="s">
        <v>79</v>
      </c>
      <c r="D16" s="27" t="s">
        <v>258</v>
      </c>
      <c r="E16" s="28" t="s">
        <v>19</v>
      </c>
      <c r="F16" s="28"/>
      <c r="G16" s="29" t="s">
        <v>259</v>
      </c>
      <c r="H16" s="31" t="s">
        <v>50</v>
      </c>
      <c r="I16" s="32" t="s">
        <v>68</v>
      </c>
      <c r="J16" s="42" t="s">
        <v>65</v>
      </c>
      <c r="K16" s="42" t="s">
        <v>65</v>
      </c>
      <c r="L16" s="42"/>
      <c r="M16" s="42" t="s">
        <v>65</v>
      </c>
      <c r="N16" s="42" t="s">
        <v>65</v>
      </c>
      <c r="O16" s="42"/>
      <c r="P16" s="42" t="s">
        <v>65</v>
      </c>
      <c r="Q16" s="42" t="s">
        <v>65</v>
      </c>
      <c r="R16" s="42"/>
      <c r="S16" s="42" t="s">
        <v>65</v>
      </c>
      <c r="T16" s="42" t="s">
        <v>65</v>
      </c>
      <c r="U16" s="42"/>
      <c r="V16" s="42" t="s">
        <v>65</v>
      </c>
      <c r="W16" s="42" t="s">
        <v>21</v>
      </c>
      <c r="X16" s="33">
        <f t="shared" si="3"/>
        <v>0.1</v>
      </c>
      <c r="Y16" s="45" t="s">
        <v>89</v>
      </c>
      <c r="Z16" s="46">
        <f>COUNTIF(H3:H98,"Espectro")</f>
        <v>2</v>
      </c>
      <c r="AA16" s="44"/>
      <c r="AB16" s="45" t="s">
        <v>90</v>
      </c>
      <c r="AC16" s="46">
        <f>COUNTIF(C3:C98,"Cbo.")</f>
        <v>7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79</v>
      </c>
      <c r="D17" s="27" t="s">
        <v>88</v>
      </c>
      <c r="E17" s="28" t="s">
        <v>19</v>
      </c>
      <c r="F17" s="28"/>
      <c r="G17" s="29" t="s">
        <v>62</v>
      </c>
      <c r="H17" s="31" t="s">
        <v>50</v>
      </c>
      <c r="I17" s="32" t="s">
        <v>85</v>
      </c>
      <c r="J17" s="42" t="s">
        <v>37</v>
      </c>
      <c r="K17" s="42" t="s">
        <v>37</v>
      </c>
      <c r="L17" s="42" t="s">
        <v>58</v>
      </c>
      <c r="M17" s="42" t="s">
        <v>21</v>
      </c>
      <c r="N17" s="42" t="s">
        <v>52</v>
      </c>
      <c r="O17" s="42"/>
      <c r="P17" s="42" t="s">
        <v>21</v>
      </c>
      <c r="Q17" s="42" t="s">
        <v>52</v>
      </c>
      <c r="R17" s="42"/>
      <c r="S17" s="42" t="s">
        <v>21</v>
      </c>
      <c r="T17" s="42" t="s">
        <v>21</v>
      </c>
      <c r="U17" s="42"/>
      <c r="V17" s="42" t="s">
        <v>21</v>
      </c>
      <c r="W17" s="42" t="s">
        <v>24</v>
      </c>
      <c r="X17" s="33">
        <f t="shared" si="3"/>
        <v>0.65</v>
      </c>
      <c r="Y17" s="45" t="s">
        <v>92</v>
      </c>
      <c r="Z17" s="46">
        <f>COUNTIF(H3:H98,"Caballeria")</f>
        <v>5</v>
      </c>
      <c r="AA17" s="44"/>
      <c r="AB17" s="45" t="s">
        <v>93</v>
      </c>
      <c r="AC17" s="46">
        <f>COUNTIF(C3:C98,"Cbo1.")</f>
        <v>8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79</v>
      </c>
      <c r="D18" s="27" t="s">
        <v>278</v>
      </c>
      <c r="E18" s="28" t="s">
        <v>19</v>
      </c>
      <c r="F18" s="28"/>
      <c r="G18" s="29" t="s">
        <v>279</v>
      </c>
      <c r="H18" s="31" t="s">
        <v>50</v>
      </c>
      <c r="I18" s="32" t="s">
        <v>85</v>
      </c>
      <c r="J18" s="42" t="s">
        <v>24</v>
      </c>
      <c r="K18" s="42" t="s">
        <v>24</v>
      </c>
      <c r="L18" s="42" t="s">
        <v>58</v>
      </c>
      <c r="M18" s="42" t="s">
        <v>21</v>
      </c>
      <c r="N18" s="42" t="s">
        <v>21</v>
      </c>
      <c r="O18" s="42"/>
      <c r="P18" s="42" t="s">
        <v>24</v>
      </c>
      <c r="Q18" s="42" t="s">
        <v>52</v>
      </c>
      <c r="R18" s="42" t="s">
        <v>58</v>
      </c>
      <c r="S18" s="42" t="s">
        <v>24</v>
      </c>
      <c r="T18" s="42" t="s">
        <v>24</v>
      </c>
      <c r="U18" s="42"/>
      <c r="V18" s="42" t="s">
        <v>33</v>
      </c>
      <c r="W18" s="42" t="s">
        <v>24</v>
      </c>
      <c r="X18" s="33">
        <f t="shared" si="3"/>
        <v>0.35</v>
      </c>
      <c r="Y18" s="45" t="s">
        <v>95</v>
      </c>
      <c r="Z18" s="46">
        <f>COUNTIF(H3:H98,"FAZR")</f>
        <v>5</v>
      </c>
      <c r="AA18" s="44"/>
      <c r="AB18" s="45" t="s">
        <v>96</v>
      </c>
      <c r="AC18" s="46">
        <f>COUNTIF(C3:C98,"Sgt.")</f>
        <v>2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79</v>
      </c>
      <c r="D19" s="27" t="s">
        <v>94</v>
      </c>
      <c r="E19" s="28" t="s">
        <v>19</v>
      </c>
      <c r="F19" s="28"/>
      <c r="G19" s="29" t="s">
        <v>49</v>
      </c>
      <c r="H19" s="31" t="s">
        <v>50</v>
      </c>
      <c r="I19" s="32" t="s">
        <v>85</v>
      </c>
      <c r="J19" s="42" t="s">
        <v>65</v>
      </c>
      <c r="K19" s="42" t="s">
        <v>65</v>
      </c>
      <c r="L19" s="42"/>
      <c r="M19" s="42" t="s">
        <v>65</v>
      </c>
      <c r="N19" s="42" t="s">
        <v>65</v>
      </c>
      <c r="O19" s="42"/>
      <c r="P19" s="42" t="s">
        <v>65</v>
      </c>
      <c r="Q19" s="42" t="s">
        <v>65</v>
      </c>
      <c r="R19" s="42"/>
      <c r="S19" s="42" t="s">
        <v>65</v>
      </c>
      <c r="T19" s="42" t="s">
        <v>65</v>
      </c>
      <c r="U19" s="42"/>
      <c r="V19" s="42" t="s">
        <v>65</v>
      </c>
      <c r="W19" s="42" t="s">
        <v>21</v>
      </c>
      <c r="X19" s="33">
        <f t="shared" si="3"/>
        <v>0.1</v>
      </c>
      <c r="Y19" s="45" t="s">
        <v>98</v>
      </c>
      <c r="Z19" s="46">
        <v>12.0</v>
      </c>
      <c r="AA19" s="44"/>
      <c r="AB19" s="45" t="s">
        <v>99</v>
      </c>
      <c r="AC19" s="46">
        <f>COUNTIF(C3:C98,"Sgt1.")</f>
        <v>1</v>
      </c>
    </row>
    <row r="20" ht="15.75" customHeight="1">
      <c r="A20" s="25">
        <f t="shared" si="1"/>
        <v>4</v>
      </c>
      <c r="B20" s="25">
        <f t="shared" si="2"/>
        <v>7</v>
      </c>
      <c r="C20" s="26" t="s">
        <v>46</v>
      </c>
      <c r="D20" s="27" t="s">
        <v>114</v>
      </c>
      <c r="E20" s="28" t="s">
        <v>48</v>
      </c>
      <c r="F20" s="28" t="s">
        <v>76</v>
      </c>
      <c r="G20" s="29" t="s">
        <v>20</v>
      </c>
      <c r="H20" s="31" t="s">
        <v>115</v>
      </c>
      <c r="I20" s="32" t="s">
        <v>51</v>
      </c>
      <c r="J20" s="42" t="s">
        <v>21</v>
      </c>
      <c r="K20" s="42" t="s">
        <v>21</v>
      </c>
      <c r="L20" s="42"/>
      <c r="M20" s="42" t="s">
        <v>24</v>
      </c>
      <c r="N20" s="42" t="s">
        <v>21</v>
      </c>
      <c r="O20" s="42"/>
      <c r="P20" s="42" t="s">
        <v>21</v>
      </c>
      <c r="Q20" s="42" t="s">
        <v>21</v>
      </c>
      <c r="R20" s="42" t="s">
        <v>58</v>
      </c>
      <c r="S20" s="42" t="s">
        <v>21</v>
      </c>
      <c r="T20" s="42" t="s">
        <v>24</v>
      </c>
      <c r="U20" s="42"/>
      <c r="V20" s="42" t="s">
        <v>21</v>
      </c>
      <c r="W20" s="42" t="s">
        <v>21</v>
      </c>
      <c r="X20" s="33">
        <f t="shared" si="3"/>
        <v>0.85</v>
      </c>
      <c r="Y20" s="45" t="s">
        <v>101</v>
      </c>
      <c r="Z20" s="46">
        <f>COUNTIF(I3:I98,"Reserva")</f>
        <v>20</v>
      </c>
      <c r="AA20" s="44"/>
      <c r="AB20" s="45" t="s">
        <v>102</v>
      </c>
      <c r="AC20" s="46">
        <f>COUNTIF(C3:C98,"SgtM.")</f>
        <v>0</v>
      </c>
    </row>
    <row r="21" ht="15.75" customHeight="1">
      <c r="A21" s="25">
        <f t="shared" si="1"/>
        <v>4</v>
      </c>
      <c r="B21" s="25">
        <f t="shared" si="2"/>
        <v>8</v>
      </c>
      <c r="C21" s="26" t="s">
        <v>54</v>
      </c>
      <c r="D21" s="27" t="s">
        <v>118</v>
      </c>
      <c r="E21" s="28" t="s">
        <v>76</v>
      </c>
      <c r="F21" s="28" t="s">
        <v>28</v>
      </c>
      <c r="G21" s="29" t="s">
        <v>62</v>
      </c>
      <c r="H21" s="31" t="s">
        <v>115</v>
      </c>
      <c r="I21" s="32" t="s">
        <v>57</v>
      </c>
      <c r="J21" s="42" t="s">
        <v>37</v>
      </c>
      <c r="K21" s="42" t="s">
        <v>37</v>
      </c>
      <c r="L21" s="42"/>
      <c r="M21" s="42" t="s">
        <v>21</v>
      </c>
      <c r="N21" s="42" t="s">
        <v>24</v>
      </c>
      <c r="O21" s="42"/>
      <c r="P21" s="42" t="s">
        <v>24</v>
      </c>
      <c r="Q21" s="42" t="s">
        <v>21</v>
      </c>
      <c r="R21" s="42"/>
      <c r="S21" s="42" t="s">
        <v>21</v>
      </c>
      <c r="T21" s="42" t="s">
        <v>24</v>
      </c>
      <c r="U21" s="42"/>
      <c r="V21" s="42" t="s">
        <v>21</v>
      </c>
      <c r="W21" s="42" t="s">
        <v>21</v>
      </c>
      <c r="X21" s="33">
        <f t="shared" si="3"/>
        <v>0.5</v>
      </c>
      <c r="Y21" s="45" t="s">
        <v>38</v>
      </c>
      <c r="Z21" s="46">
        <f>COUNTIF(I3:I98,"Licencia")</f>
        <v>2</v>
      </c>
      <c r="AA21" s="44"/>
      <c r="AB21" s="45" t="s">
        <v>104</v>
      </c>
      <c r="AC21" s="46">
        <f>COUNTIF(C3:C98,"Tte.")</f>
        <v>1</v>
      </c>
    </row>
    <row r="22" ht="15.75" customHeight="1">
      <c r="A22" s="25">
        <f t="shared" si="1"/>
        <v>4</v>
      </c>
      <c r="B22" s="25">
        <f t="shared" si="2"/>
        <v>9</v>
      </c>
      <c r="C22" s="26" t="s">
        <v>64</v>
      </c>
      <c r="D22" s="27" t="s">
        <v>218</v>
      </c>
      <c r="E22" s="28" t="s">
        <v>41</v>
      </c>
      <c r="F22" s="28" t="s">
        <v>19</v>
      </c>
      <c r="G22" s="29" t="s">
        <v>71</v>
      </c>
      <c r="H22" s="31" t="s">
        <v>115</v>
      </c>
      <c r="I22" s="32" t="s">
        <v>63</v>
      </c>
      <c r="J22" s="42" t="s">
        <v>21</v>
      </c>
      <c r="K22" s="42" t="s">
        <v>24</v>
      </c>
      <c r="L22" s="42"/>
      <c r="M22" s="42" t="s">
        <v>21</v>
      </c>
      <c r="N22" s="42" t="s">
        <v>24</v>
      </c>
      <c r="O22" s="42"/>
      <c r="P22" s="42" t="s">
        <v>21</v>
      </c>
      <c r="Q22" s="42" t="s">
        <v>24</v>
      </c>
      <c r="R22" s="42" t="s">
        <v>58</v>
      </c>
      <c r="S22" s="42" t="s">
        <v>24</v>
      </c>
      <c r="T22" s="42" t="s">
        <v>21</v>
      </c>
      <c r="U22" s="42"/>
      <c r="V22" s="42" t="s">
        <v>21</v>
      </c>
      <c r="W22" s="42" t="s">
        <v>24</v>
      </c>
      <c r="X22" s="33">
        <f t="shared" si="3"/>
        <v>0.55</v>
      </c>
      <c r="Y22" s="45"/>
      <c r="Z22" s="46"/>
      <c r="AA22" s="44"/>
      <c r="AB22" s="45" t="s">
        <v>106</v>
      </c>
      <c r="AC22" s="46">
        <f>COUNTIF(C3:C98,"Alf.")</f>
        <v>1</v>
      </c>
    </row>
    <row r="23" ht="15.75" customHeight="1">
      <c r="A23" s="25">
        <f t="shared" si="1"/>
        <v>4</v>
      </c>
      <c r="B23" s="25">
        <f t="shared" si="2"/>
        <v>9</v>
      </c>
      <c r="C23" s="26" t="s">
        <v>64</v>
      </c>
      <c r="D23" s="27" t="s">
        <v>248</v>
      </c>
      <c r="E23" s="28" t="s">
        <v>41</v>
      </c>
      <c r="F23" s="28" t="s">
        <v>48</v>
      </c>
      <c r="G23" s="29" t="s">
        <v>227</v>
      </c>
      <c r="H23" s="31" t="s">
        <v>115</v>
      </c>
      <c r="I23" s="32" t="s">
        <v>68</v>
      </c>
      <c r="J23" s="42" t="s">
        <v>21</v>
      </c>
      <c r="K23" s="42" t="s">
        <v>21</v>
      </c>
      <c r="L23" s="42"/>
      <c r="M23" s="42" t="s">
        <v>24</v>
      </c>
      <c r="N23" s="42" t="s">
        <v>24</v>
      </c>
      <c r="O23" s="42"/>
      <c r="P23" s="42" t="s">
        <v>21</v>
      </c>
      <c r="Q23" s="42" t="s">
        <v>24</v>
      </c>
      <c r="R23" s="42"/>
      <c r="S23" s="42" t="s">
        <v>24</v>
      </c>
      <c r="T23" s="42" t="s">
        <v>24</v>
      </c>
      <c r="U23" s="42"/>
      <c r="V23" s="42" t="s">
        <v>24</v>
      </c>
      <c r="W23" s="42" t="s">
        <v>21</v>
      </c>
      <c r="X23" s="33">
        <f t="shared" si="3"/>
        <v>0.4</v>
      </c>
      <c r="Y23" s="45"/>
      <c r="Z23" s="46"/>
      <c r="AA23" s="44"/>
      <c r="AB23" s="45" t="s">
        <v>108</v>
      </c>
      <c r="AC23" s="46">
        <f>COUNTIF(C3:C98,"Cap.")</f>
        <v>2</v>
      </c>
    </row>
    <row r="24" ht="15.75" customHeight="1">
      <c r="A24" s="25">
        <f t="shared" si="1"/>
        <v>4</v>
      </c>
      <c r="B24" s="25">
        <f t="shared" si="2"/>
        <v>9</v>
      </c>
      <c r="C24" s="26" t="s">
        <v>64</v>
      </c>
      <c r="D24" s="27" t="s">
        <v>138</v>
      </c>
      <c r="E24" s="28" t="s">
        <v>61</v>
      </c>
      <c r="F24" s="28"/>
      <c r="G24" s="29" t="s">
        <v>62</v>
      </c>
      <c r="H24" s="31" t="s">
        <v>115</v>
      </c>
      <c r="I24" s="32" t="s">
        <v>68</v>
      </c>
      <c r="J24" s="42" t="s">
        <v>21</v>
      </c>
      <c r="K24" s="42" t="s">
        <v>24</v>
      </c>
      <c r="L24" s="42" t="s">
        <v>58</v>
      </c>
      <c r="M24" s="42" t="s">
        <v>24</v>
      </c>
      <c r="N24" s="42" t="s">
        <v>21</v>
      </c>
      <c r="O24" s="42"/>
      <c r="P24" s="42" t="s">
        <v>24</v>
      </c>
      <c r="Q24" s="42" t="s">
        <v>24</v>
      </c>
      <c r="R24" s="42"/>
      <c r="S24" s="42" t="s">
        <v>21</v>
      </c>
      <c r="T24" s="42" t="s">
        <v>21</v>
      </c>
      <c r="U24" s="42"/>
      <c r="V24" s="42" t="s">
        <v>24</v>
      </c>
      <c r="W24" s="42" t="s">
        <v>21</v>
      </c>
      <c r="X24" s="33">
        <f t="shared" si="3"/>
        <v>0.55</v>
      </c>
      <c r="Y24" s="47"/>
      <c r="Z24" s="47"/>
      <c r="AA24" s="48"/>
      <c r="AB24" s="1"/>
      <c r="AC24" s="1"/>
    </row>
    <row r="25" ht="15.75" customHeight="1">
      <c r="A25" s="25">
        <f t="shared" si="1"/>
        <v>4</v>
      </c>
      <c r="B25" s="25">
        <f t="shared" si="2"/>
        <v>11</v>
      </c>
      <c r="C25" s="26" t="s">
        <v>79</v>
      </c>
      <c r="D25" s="27" t="s">
        <v>264</v>
      </c>
      <c r="E25" s="28" t="s">
        <v>19</v>
      </c>
      <c r="F25" s="28"/>
      <c r="G25" s="29" t="s">
        <v>49</v>
      </c>
      <c r="H25" s="31" t="s">
        <v>115</v>
      </c>
      <c r="I25" s="32" t="s">
        <v>68</v>
      </c>
      <c r="J25" s="42" t="s">
        <v>33</v>
      </c>
      <c r="K25" s="42" t="s">
        <v>21</v>
      </c>
      <c r="L25" s="42" t="s">
        <v>58</v>
      </c>
      <c r="M25" s="42" t="s">
        <v>21</v>
      </c>
      <c r="N25" s="42" t="s">
        <v>21</v>
      </c>
      <c r="O25" s="42"/>
      <c r="P25" s="42" t="s">
        <v>33</v>
      </c>
      <c r="Q25" s="42" t="s">
        <v>21</v>
      </c>
      <c r="R25" s="42"/>
      <c r="S25" s="42" t="s">
        <v>33</v>
      </c>
      <c r="T25" s="42" t="s">
        <v>33</v>
      </c>
      <c r="U25" s="42"/>
      <c r="V25" s="42" t="s">
        <v>24</v>
      </c>
      <c r="W25" s="42" t="s">
        <v>21</v>
      </c>
      <c r="X25" s="33">
        <f t="shared" si="3"/>
        <v>0.55</v>
      </c>
      <c r="Y25" s="43" t="s">
        <v>116</v>
      </c>
      <c r="Z25" s="43" t="s">
        <v>73</v>
      </c>
      <c r="AA25" s="48"/>
      <c r="AB25" s="43" t="s">
        <v>117</v>
      </c>
      <c r="AC25" s="43" t="s">
        <v>73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79</v>
      </c>
      <c r="D26" s="27" t="s">
        <v>265</v>
      </c>
      <c r="E26" s="28" t="s">
        <v>19</v>
      </c>
      <c r="F26" s="28"/>
      <c r="G26" s="29" t="s">
        <v>259</v>
      </c>
      <c r="H26" s="31" t="s">
        <v>115</v>
      </c>
      <c r="I26" s="32" t="s">
        <v>68</v>
      </c>
      <c r="J26" s="42" t="s">
        <v>65</v>
      </c>
      <c r="K26" s="42" t="s">
        <v>65</v>
      </c>
      <c r="L26" s="42"/>
      <c r="M26" s="42" t="s">
        <v>65</v>
      </c>
      <c r="N26" s="42" t="s">
        <v>65</v>
      </c>
      <c r="O26" s="42"/>
      <c r="P26" s="42" t="s">
        <v>65</v>
      </c>
      <c r="Q26" s="42" t="s">
        <v>65</v>
      </c>
      <c r="R26" s="42"/>
      <c r="S26" s="42" t="s">
        <v>65</v>
      </c>
      <c r="T26" s="42" t="s">
        <v>65</v>
      </c>
      <c r="U26" s="42"/>
      <c r="V26" s="42" t="s">
        <v>65</v>
      </c>
      <c r="W26" s="42" t="s">
        <v>21</v>
      </c>
      <c r="X26" s="33">
        <f t="shared" si="3"/>
        <v>0.1</v>
      </c>
      <c r="Y26" s="45" t="s">
        <v>119</v>
      </c>
      <c r="Z26" s="46">
        <f>COUNTIF(G3:G98, "Ar")</f>
        <v>13</v>
      </c>
      <c r="AA26" s="44"/>
      <c r="AB26" s="45" t="s">
        <v>120</v>
      </c>
      <c r="AC26" s="46">
        <f>COUNTIF(E3:E98,"AT")+COUNTIF(F3:F98,"AT")</f>
        <v>10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79</v>
      </c>
      <c r="D27" s="27" t="s">
        <v>266</v>
      </c>
      <c r="E27" s="28" t="s">
        <v>19</v>
      </c>
      <c r="F27" s="28"/>
      <c r="G27" s="29" t="s">
        <v>49</v>
      </c>
      <c r="H27" s="31" t="s">
        <v>115</v>
      </c>
      <c r="I27" s="32" t="s">
        <v>68</v>
      </c>
      <c r="J27" s="42" t="s">
        <v>65</v>
      </c>
      <c r="K27" s="42" t="s">
        <v>65</v>
      </c>
      <c r="L27" s="42"/>
      <c r="M27" s="42" t="s">
        <v>65</v>
      </c>
      <c r="N27" s="42" t="s">
        <v>65</v>
      </c>
      <c r="O27" s="42"/>
      <c r="P27" s="42" t="s">
        <v>65</v>
      </c>
      <c r="Q27" s="42" t="s">
        <v>65</v>
      </c>
      <c r="R27" s="42"/>
      <c r="S27" s="42" t="s">
        <v>65</v>
      </c>
      <c r="T27" s="42" t="s">
        <v>65</v>
      </c>
      <c r="U27" s="42"/>
      <c r="V27" s="42" t="s">
        <v>65</v>
      </c>
      <c r="W27" s="42" t="s">
        <v>21</v>
      </c>
      <c r="X27" s="33">
        <f t="shared" si="3"/>
        <v>0.1</v>
      </c>
      <c r="Y27" s="49" t="s">
        <v>122</v>
      </c>
      <c r="Z27" s="46">
        <f>COUNTIF(G3:G98, "Ch")</f>
        <v>13</v>
      </c>
      <c r="AA27" s="44"/>
      <c r="AB27" s="49" t="s">
        <v>123</v>
      </c>
      <c r="AC27" s="46">
        <f>COUNTIF(E3:E98,"FL")+COUNTIF(F3:F98,"FL")</f>
        <v>38</v>
      </c>
    </row>
    <row r="28" ht="15.75" customHeight="1">
      <c r="A28" s="25">
        <f t="shared" si="1"/>
        <v>4</v>
      </c>
      <c r="B28" s="25">
        <f t="shared" si="2"/>
        <v>10</v>
      </c>
      <c r="C28" s="26" t="s">
        <v>84</v>
      </c>
      <c r="D28" s="27" t="s">
        <v>124</v>
      </c>
      <c r="E28" s="28" t="s">
        <v>61</v>
      </c>
      <c r="F28" s="28" t="s">
        <v>19</v>
      </c>
      <c r="G28" s="29" t="s">
        <v>125</v>
      </c>
      <c r="H28" s="31" t="s">
        <v>115</v>
      </c>
      <c r="I28" s="32" t="s">
        <v>85</v>
      </c>
      <c r="J28" s="42" t="s">
        <v>21</v>
      </c>
      <c r="K28" s="42" t="s">
        <v>21</v>
      </c>
      <c r="L28" s="42" t="s">
        <v>58</v>
      </c>
      <c r="M28" s="42" t="s">
        <v>21</v>
      </c>
      <c r="N28" s="42" t="s">
        <v>21</v>
      </c>
      <c r="O28" s="42"/>
      <c r="P28" s="42" t="s">
        <v>21</v>
      </c>
      <c r="Q28" s="42" t="s">
        <v>21</v>
      </c>
      <c r="R28" s="42" t="s">
        <v>58</v>
      </c>
      <c r="S28" s="42" t="s">
        <v>21</v>
      </c>
      <c r="T28" s="42" t="s">
        <v>21</v>
      </c>
      <c r="U28" s="42"/>
      <c r="V28" s="42" t="s">
        <v>21</v>
      </c>
      <c r="W28" s="42" t="s">
        <v>21</v>
      </c>
      <c r="X28" s="33">
        <f t="shared" si="3"/>
        <v>1.1</v>
      </c>
      <c r="Y28" s="49" t="s">
        <v>126</v>
      </c>
      <c r="Z28" s="46">
        <f>COUNTIF(G3:G98, "Co")</f>
        <v>1</v>
      </c>
      <c r="AA28" s="44"/>
      <c r="AB28" s="49" t="s">
        <v>127</v>
      </c>
      <c r="AC28" s="46">
        <f>COUNTIF(E3:E98,"GL")+COUNTIF(F3:F98,"GL")</f>
        <v>8</v>
      </c>
    </row>
    <row r="29" ht="15.75" customHeight="1">
      <c r="A29" s="25">
        <f t="shared" si="1"/>
        <v>4</v>
      </c>
      <c r="B29" s="25">
        <f t="shared" si="2"/>
        <v>11</v>
      </c>
      <c r="C29" s="26" t="s">
        <v>79</v>
      </c>
      <c r="D29" s="27" t="s">
        <v>220</v>
      </c>
      <c r="E29" s="28" t="s">
        <v>19</v>
      </c>
      <c r="F29" s="28"/>
      <c r="G29" s="29" t="s">
        <v>49</v>
      </c>
      <c r="H29" s="31" t="s">
        <v>115</v>
      </c>
      <c r="I29" s="32" t="s">
        <v>85</v>
      </c>
      <c r="J29" s="42" t="s">
        <v>21</v>
      </c>
      <c r="K29" s="42" t="s">
        <v>24</v>
      </c>
      <c r="L29" s="42"/>
      <c r="M29" s="42" t="s">
        <v>21</v>
      </c>
      <c r="N29" s="42" t="s">
        <v>21</v>
      </c>
      <c r="O29" s="42"/>
      <c r="P29" s="42" t="s">
        <v>21</v>
      </c>
      <c r="Q29" s="42" t="s">
        <v>21</v>
      </c>
      <c r="R29" s="42"/>
      <c r="S29" s="42" t="s">
        <v>21</v>
      </c>
      <c r="T29" s="42" t="s">
        <v>24</v>
      </c>
      <c r="U29" s="42"/>
      <c r="V29" s="42" t="s">
        <v>21</v>
      </c>
      <c r="W29" s="42" t="s">
        <v>21</v>
      </c>
      <c r="X29" s="33">
        <f t="shared" si="3"/>
        <v>0.8</v>
      </c>
      <c r="Y29" s="49" t="s">
        <v>129</v>
      </c>
      <c r="Z29" s="46">
        <f>COUNTIF(G3:G98, "CR")</f>
        <v>1</v>
      </c>
      <c r="AA29" s="44"/>
      <c r="AB29" s="49" t="s">
        <v>130</v>
      </c>
      <c r="AC29" s="46">
        <f>COUNTIF(E3:E98,"MC")+COUNTIF(F3:F98,"MC")</f>
        <v>19</v>
      </c>
    </row>
    <row r="30" ht="15.75" customHeight="1">
      <c r="A30" s="25">
        <f t="shared" si="1"/>
        <v>4</v>
      </c>
      <c r="B30" s="25">
        <f t="shared" si="2"/>
        <v>11</v>
      </c>
      <c r="C30" s="26" t="s">
        <v>79</v>
      </c>
      <c r="D30" s="27" t="s">
        <v>144</v>
      </c>
      <c r="E30" s="28" t="s">
        <v>19</v>
      </c>
      <c r="F30" s="28"/>
      <c r="G30" s="29" t="s">
        <v>145</v>
      </c>
      <c r="H30" s="31" t="s">
        <v>115</v>
      </c>
      <c r="I30" s="32" t="s">
        <v>85</v>
      </c>
      <c r="J30" s="42" t="s">
        <v>65</v>
      </c>
      <c r="K30" s="42" t="s">
        <v>65</v>
      </c>
      <c r="L30" s="42"/>
      <c r="M30" s="42" t="s">
        <v>65</v>
      </c>
      <c r="N30" s="42" t="s">
        <v>65</v>
      </c>
      <c r="O30" s="42"/>
      <c r="P30" s="42" t="s">
        <v>65</v>
      </c>
      <c r="Q30" s="42" t="s">
        <v>65</v>
      </c>
      <c r="R30" s="42"/>
      <c r="S30" s="42" t="s">
        <v>65</v>
      </c>
      <c r="T30" s="42" t="s">
        <v>65</v>
      </c>
      <c r="U30" s="42"/>
      <c r="V30" s="42" t="s">
        <v>65</v>
      </c>
      <c r="W30" s="42" t="s">
        <v>21</v>
      </c>
      <c r="X30" s="33">
        <f t="shared" si="3"/>
        <v>0.1</v>
      </c>
      <c r="Y30" s="49" t="s">
        <v>133</v>
      </c>
      <c r="Z30" s="46">
        <f>COUNTIF(G3:G98, "ES")</f>
        <v>1</v>
      </c>
      <c r="AA30" s="44"/>
      <c r="AB30" s="49" t="s">
        <v>134</v>
      </c>
      <c r="AC30" s="46">
        <f>COUNTIF(E3:E98,"MG")+COUNTIF(F3:F98,"MG")</f>
        <v>13</v>
      </c>
    </row>
    <row r="31" ht="15.75" customHeight="1">
      <c r="A31" s="25">
        <f t="shared" si="1"/>
        <v>9</v>
      </c>
      <c r="B31" s="25">
        <f t="shared" si="2"/>
        <v>7</v>
      </c>
      <c r="C31" s="26" t="s">
        <v>46</v>
      </c>
      <c r="D31" s="27" t="s">
        <v>157</v>
      </c>
      <c r="E31" s="28" t="s">
        <v>48</v>
      </c>
      <c r="F31" s="28" t="s">
        <v>41</v>
      </c>
      <c r="G31" s="29" t="s">
        <v>20</v>
      </c>
      <c r="H31" s="31" t="s">
        <v>158</v>
      </c>
      <c r="I31" s="32" t="s">
        <v>51</v>
      </c>
      <c r="J31" s="42" t="s">
        <v>21</v>
      </c>
      <c r="K31" s="42" t="s">
        <v>21</v>
      </c>
      <c r="L31" s="42" t="s">
        <v>58</v>
      </c>
      <c r="M31" s="42" t="s">
        <v>21</v>
      </c>
      <c r="N31" s="42" t="s">
        <v>21</v>
      </c>
      <c r="O31" s="42"/>
      <c r="P31" s="42" t="s">
        <v>21</v>
      </c>
      <c r="Q31" s="42" t="s">
        <v>21</v>
      </c>
      <c r="R31" s="42" t="s">
        <v>58</v>
      </c>
      <c r="S31" s="42" t="s">
        <v>21</v>
      </c>
      <c r="T31" s="42" t="s">
        <v>24</v>
      </c>
      <c r="U31" s="42"/>
      <c r="V31" s="42" t="s">
        <v>21</v>
      </c>
      <c r="W31" s="42" t="s">
        <v>24</v>
      </c>
      <c r="X31" s="33">
        <f t="shared" si="3"/>
        <v>0.9</v>
      </c>
      <c r="Y31" s="49" t="s">
        <v>136</v>
      </c>
      <c r="Z31" s="46">
        <f>COUNTIF(G3:G98, "Ja")</f>
        <v>1</v>
      </c>
      <c r="AA31" s="44"/>
      <c r="AB31" s="49" t="s">
        <v>137</v>
      </c>
      <c r="AC31" s="46">
        <f>COUNTIF(E3:E98,"OD")+COUNTIF(F3:F98,"OD")</f>
        <v>6</v>
      </c>
    </row>
    <row r="32" ht="15.75" customHeight="1">
      <c r="A32" s="25">
        <f t="shared" si="1"/>
        <v>9</v>
      </c>
      <c r="B32" s="25">
        <f t="shared" si="2"/>
        <v>8</v>
      </c>
      <c r="C32" s="26" t="s">
        <v>54</v>
      </c>
      <c r="D32" s="27" t="s">
        <v>160</v>
      </c>
      <c r="E32" s="28" t="s">
        <v>61</v>
      </c>
      <c r="F32" s="28" t="s">
        <v>48</v>
      </c>
      <c r="G32" s="29" t="s">
        <v>149</v>
      </c>
      <c r="H32" s="31" t="s">
        <v>158</v>
      </c>
      <c r="I32" s="32" t="s">
        <v>57</v>
      </c>
      <c r="J32" s="42" t="s">
        <v>24</v>
      </c>
      <c r="K32" s="42" t="s">
        <v>21</v>
      </c>
      <c r="L32" s="42"/>
      <c r="M32" s="42" t="s">
        <v>21</v>
      </c>
      <c r="N32" s="42" t="s">
        <v>21</v>
      </c>
      <c r="O32" s="42"/>
      <c r="P32" s="42" t="s">
        <v>21</v>
      </c>
      <c r="Q32" s="42" t="s">
        <v>21</v>
      </c>
      <c r="R32" s="42"/>
      <c r="S32" s="42" t="s">
        <v>21</v>
      </c>
      <c r="T32" s="42" t="s">
        <v>21</v>
      </c>
      <c r="U32" s="42"/>
      <c r="V32" s="42" t="s">
        <v>21</v>
      </c>
      <c r="W32" s="42" t="s">
        <v>24</v>
      </c>
      <c r="X32" s="33">
        <f t="shared" si="3"/>
        <v>0.8</v>
      </c>
      <c r="Y32" s="49" t="s">
        <v>139</v>
      </c>
      <c r="Z32" s="46">
        <f>COUNTIF(G3:G98, "Me")</f>
        <v>8</v>
      </c>
      <c r="AA32" s="44"/>
      <c r="AB32" s="49" t="s">
        <v>140</v>
      </c>
      <c r="AC32" s="46">
        <f>COUNTIF(E3:E98,"RO")+COUNTIF(F3:F98,"RO")</f>
        <v>6</v>
      </c>
    </row>
    <row r="33" ht="15.75" customHeight="1">
      <c r="A33" s="25">
        <f t="shared" si="1"/>
        <v>9</v>
      </c>
      <c r="B33" s="25">
        <f t="shared" si="2"/>
        <v>8</v>
      </c>
      <c r="C33" s="26" t="s">
        <v>54</v>
      </c>
      <c r="D33" s="27" t="s">
        <v>162</v>
      </c>
      <c r="E33" s="28" t="s">
        <v>41</v>
      </c>
      <c r="F33" s="28" t="s">
        <v>28</v>
      </c>
      <c r="G33" s="29" t="s">
        <v>163</v>
      </c>
      <c r="H33" s="31" t="s">
        <v>158</v>
      </c>
      <c r="I33" s="32" t="s">
        <v>63</v>
      </c>
      <c r="J33" s="42" t="s">
        <v>21</v>
      </c>
      <c r="K33" s="42" t="s">
        <v>21</v>
      </c>
      <c r="L33" s="42" t="s">
        <v>58</v>
      </c>
      <c r="M33" s="42" t="s">
        <v>52</v>
      </c>
      <c r="N33" s="42" t="s">
        <v>21</v>
      </c>
      <c r="O33" s="42"/>
      <c r="P33" s="42" t="s">
        <v>24</v>
      </c>
      <c r="Q33" s="42" t="s">
        <v>24</v>
      </c>
      <c r="R33" s="42" t="s">
        <v>58</v>
      </c>
      <c r="S33" s="42" t="s">
        <v>24</v>
      </c>
      <c r="T33" s="42" t="s">
        <v>24</v>
      </c>
      <c r="U33" s="42"/>
      <c r="V33" s="42" t="s">
        <v>21</v>
      </c>
      <c r="W33" s="42" t="s">
        <v>21</v>
      </c>
      <c r="X33" s="33">
        <f t="shared" si="3"/>
        <v>0.65</v>
      </c>
      <c r="Y33" s="49" t="s">
        <v>142</v>
      </c>
      <c r="Z33" s="46">
        <f>COUNTIF(G3:G98, "Pa")</f>
        <v>2</v>
      </c>
      <c r="AA33" s="44"/>
      <c r="AB33" s="49" t="s">
        <v>143</v>
      </c>
      <c r="AC33" s="46">
        <f>COUNTIF(E3:E98,"TE")+COUNTIF(F3:F98,"TE")</f>
        <v>6</v>
      </c>
    </row>
    <row r="34" ht="15.75" customHeight="1">
      <c r="A34" s="25">
        <f t="shared" si="1"/>
        <v>9</v>
      </c>
      <c r="B34" s="25">
        <f t="shared" si="2"/>
        <v>9</v>
      </c>
      <c r="C34" s="26" t="s">
        <v>64</v>
      </c>
      <c r="D34" s="27" t="s">
        <v>175</v>
      </c>
      <c r="E34" s="28" t="s">
        <v>70</v>
      </c>
      <c r="F34" s="28" t="s">
        <v>41</v>
      </c>
      <c r="G34" s="29" t="s">
        <v>49</v>
      </c>
      <c r="H34" s="31" t="s">
        <v>158</v>
      </c>
      <c r="I34" s="32" t="s">
        <v>68</v>
      </c>
      <c r="J34" s="42" t="s">
        <v>52</v>
      </c>
      <c r="K34" s="42" t="s">
        <v>24</v>
      </c>
      <c r="L34" s="42"/>
      <c r="M34" s="42" t="s">
        <v>21</v>
      </c>
      <c r="N34" s="42" t="s">
        <v>21</v>
      </c>
      <c r="O34" s="42"/>
      <c r="P34" s="42" t="s">
        <v>52</v>
      </c>
      <c r="Q34" s="42" t="s">
        <v>21</v>
      </c>
      <c r="R34" s="42"/>
      <c r="S34" s="42" t="s">
        <v>21</v>
      </c>
      <c r="T34" s="42" t="s">
        <v>21</v>
      </c>
      <c r="U34" s="42"/>
      <c r="V34" s="42" t="s">
        <v>24</v>
      </c>
      <c r="W34" s="42" t="s">
        <v>21</v>
      </c>
      <c r="X34" s="33">
        <f t="shared" si="3"/>
        <v>0.7</v>
      </c>
      <c r="Y34" s="49" t="s">
        <v>146</v>
      </c>
      <c r="Z34" s="46">
        <f>COUNTIF(G3:G98, "Py")</f>
        <v>1</v>
      </c>
      <c r="AA34" s="44"/>
      <c r="AB34" s="49" t="s">
        <v>147</v>
      </c>
      <c r="AC34" s="46">
        <f>COUNTIF(E3:E98,"TS")+COUNTIF(F3:F98,"TS")</f>
        <v>1</v>
      </c>
    </row>
    <row r="35" ht="15.75" customHeight="1">
      <c r="A35" s="25">
        <f t="shared" si="1"/>
        <v>9</v>
      </c>
      <c r="B35" s="25">
        <f t="shared" si="2"/>
        <v>9</v>
      </c>
      <c r="C35" s="26" t="s">
        <v>64</v>
      </c>
      <c r="D35" s="27" t="s">
        <v>208</v>
      </c>
      <c r="E35" s="28" t="s">
        <v>41</v>
      </c>
      <c r="F35" s="28" t="s">
        <v>56</v>
      </c>
      <c r="G35" s="29" t="s">
        <v>71</v>
      </c>
      <c r="H35" s="31" t="s">
        <v>158</v>
      </c>
      <c r="I35" s="32" t="s">
        <v>68</v>
      </c>
      <c r="J35" s="42" t="s">
        <v>24</v>
      </c>
      <c r="K35" s="42" t="s">
        <v>24</v>
      </c>
      <c r="L35" s="42"/>
      <c r="M35" s="42" t="s">
        <v>21</v>
      </c>
      <c r="N35" s="42" t="s">
        <v>21</v>
      </c>
      <c r="O35" s="42"/>
      <c r="P35" s="42" t="s">
        <v>21</v>
      </c>
      <c r="Q35" s="42" t="s">
        <v>21</v>
      </c>
      <c r="R35" s="42"/>
      <c r="S35" s="42" t="s">
        <v>24</v>
      </c>
      <c r="T35" s="42" t="s">
        <v>21</v>
      </c>
      <c r="U35" s="42"/>
      <c r="V35" s="42" t="s">
        <v>21</v>
      </c>
      <c r="W35" s="42" t="s">
        <v>24</v>
      </c>
      <c r="X35" s="33">
        <f t="shared" si="3"/>
        <v>0.6</v>
      </c>
      <c r="Y35" s="49" t="s">
        <v>150</v>
      </c>
      <c r="Z35" s="46">
        <f>COUNTIF(G3:G98, "Pe")</f>
        <v>2</v>
      </c>
      <c r="AA35" s="44"/>
      <c r="AB35" s="49"/>
      <c r="AC35" s="46"/>
    </row>
    <row r="36" ht="15.75" customHeight="1">
      <c r="A36" s="25">
        <f t="shared" si="1"/>
        <v>9</v>
      </c>
      <c r="B36" s="25">
        <f t="shared" si="2"/>
        <v>10</v>
      </c>
      <c r="C36" s="26" t="s">
        <v>84</v>
      </c>
      <c r="D36" s="27" t="s">
        <v>164</v>
      </c>
      <c r="E36" s="28" t="s">
        <v>41</v>
      </c>
      <c r="F36" s="28" t="s">
        <v>28</v>
      </c>
      <c r="G36" s="29" t="s">
        <v>20</v>
      </c>
      <c r="H36" s="31" t="s">
        <v>158</v>
      </c>
      <c r="I36" s="32" t="s">
        <v>68</v>
      </c>
      <c r="J36" s="42" t="s">
        <v>21</v>
      </c>
      <c r="K36" s="42" t="s">
        <v>24</v>
      </c>
      <c r="L36" s="42" t="s">
        <v>58</v>
      </c>
      <c r="M36" s="42" t="s">
        <v>21</v>
      </c>
      <c r="N36" s="42" t="s">
        <v>21</v>
      </c>
      <c r="O36" s="42"/>
      <c r="P36" s="42" t="s">
        <v>52</v>
      </c>
      <c r="Q36" s="42" t="s">
        <v>52</v>
      </c>
      <c r="R36" s="42"/>
      <c r="S36" s="42" t="s">
        <v>21</v>
      </c>
      <c r="T36" s="42" t="s">
        <v>21</v>
      </c>
      <c r="U36" s="42"/>
      <c r="V36" s="42" t="s">
        <v>24</v>
      </c>
      <c r="W36" s="42" t="s">
        <v>21</v>
      </c>
      <c r="X36" s="33">
        <f t="shared" si="3"/>
        <v>0.75</v>
      </c>
      <c r="Y36" s="49" t="s">
        <v>152</v>
      </c>
      <c r="Z36" s="46">
        <f>COUNTIF(G3:G98, "US")</f>
        <v>1</v>
      </c>
      <c r="AA36" s="44"/>
      <c r="AB36" s="49"/>
      <c r="AC36" s="46"/>
    </row>
    <row r="37" ht="15.75" customHeight="1">
      <c r="A37" s="25">
        <f t="shared" si="1"/>
        <v>9</v>
      </c>
      <c r="B37" s="25">
        <f t="shared" si="2"/>
        <v>10</v>
      </c>
      <c r="C37" s="26" t="s">
        <v>84</v>
      </c>
      <c r="D37" s="27" t="s">
        <v>165</v>
      </c>
      <c r="E37" s="28" t="s">
        <v>61</v>
      </c>
      <c r="F37" s="28" t="s">
        <v>41</v>
      </c>
      <c r="G37" s="29" t="s">
        <v>71</v>
      </c>
      <c r="H37" s="31" t="s">
        <v>158</v>
      </c>
      <c r="I37" s="32" t="s">
        <v>85</v>
      </c>
      <c r="J37" s="42" t="s">
        <v>21</v>
      </c>
      <c r="K37" s="42" t="s">
        <v>21</v>
      </c>
      <c r="L37" s="42"/>
      <c r="M37" s="42" t="s">
        <v>21</v>
      </c>
      <c r="N37" s="42" t="s">
        <v>21</v>
      </c>
      <c r="O37" s="42"/>
      <c r="P37" s="42" t="s">
        <v>21</v>
      </c>
      <c r="Q37" s="42" t="s">
        <v>21</v>
      </c>
      <c r="R37" s="42"/>
      <c r="S37" s="42" t="s">
        <v>24</v>
      </c>
      <c r="T37" s="42" t="s">
        <v>21</v>
      </c>
      <c r="U37" s="42"/>
      <c r="V37" s="42" t="s">
        <v>21</v>
      </c>
      <c r="W37" s="42" t="s">
        <v>21</v>
      </c>
      <c r="X37" s="33">
        <f t="shared" si="3"/>
        <v>0.9</v>
      </c>
      <c r="Y37" s="49" t="s">
        <v>154</v>
      </c>
      <c r="Z37" s="46">
        <f>COUNTIF(G3:G98, "Ve")</f>
        <v>19</v>
      </c>
      <c r="AA37" s="44"/>
      <c r="AB37" s="49"/>
      <c r="AC37" s="46"/>
    </row>
    <row r="38" ht="15.75" customHeight="1">
      <c r="A38" s="25">
        <f t="shared" si="1"/>
        <v>11</v>
      </c>
      <c r="B38" s="25">
        <f t="shared" si="2"/>
        <v>6</v>
      </c>
      <c r="C38" s="26" t="s">
        <v>113</v>
      </c>
      <c r="D38" s="27" t="s">
        <v>185</v>
      </c>
      <c r="E38" s="28" t="s">
        <v>70</v>
      </c>
      <c r="F38" s="28" t="s">
        <v>19</v>
      </c>
      <c r="G38" s="29" t="s">
        <v>71</v>
      </c>
      <c r="H38" s="31" t="s">
        <v>89</v>
      </c>
      <c r="I38" s="32" t="s">
        <v>68</v>
      </c>
      <c r="J38" s="42" t="s">
        <v>21</v>
      </c>
      <c r="K38" s="42" t="s">
        <v>21</v>
      </c>
      <c r="L38" s="42" t="s">
        <v>58</v>
      </c>
      <c r="M38" s="42" t="s">
        <v>21</v>
      </c>
      <c r="N38" s="42" t="s">
        <v>21</v>
      </c>
      <c r="O38" s="42"/>
      <c r="P38" s="42" t="s">
        <v>21</v>
      </c>
      <c r="Q38" s="42" t="s">
        <v>21</v>
      </c>
      <c r="R38" s="42"/>
      <c r="S38" s="42" t="s">
        <v>21</v>
      </c>
      <c r="T38" s="42" t="s">
        <v>21</v>
      </c>
      <c r="U38" s="42"/>
      <c r="V38" s="42" t="s">
        <v>21</v>
      </c>
      <c r="W38" s="42" t="s">
        <v>21</v>
      </c>
      <c r="X38" s="33">
        <f t="shared" si="3"/>
        <v>1.05</v>
      </c>
      <c r="Y38" s="49" t="s">
        <v>156</v>
      </c>
      <c r="Z38" s="46">
        <f>COUNTIF(G3:G98, "PR")</f>
        <v>2</v>
      </c>
      <c r="AA38" s="44"/>
      <c r="AB38" s="44"/>
      <c r="AC38" s="44"/>
    </row>
    <row r="39" ht="15.75" customHeight="1">
      <c r="A39" s="25">
        <f t="shared" si="1"/>
        <v>11</v>
      </c>
      <c r="B39" s="25">
        <f t="shared" si="2"/>
        <v>7</v>
      </c>
      <c r="C39" s="26" t="s">
        <v>46</v>
      </c>
      <c r="D39" s="27" t="s">
        <v>180</v>
      </c>
      <c r="E39" s="28" t="s">
        <v>48</v>
      </c>
      <c r="F39" s="28" t="s">
        <v>28</v>
      </c>
      <c r="G39" s="29" t="s">
        <v>20</v>
      </c>
      <c r="H39" s="31" t="s">
        <v>89</v>
      </c>
      <c r="I39" s="32" t="s">
        <v>68</v>
      </c>
      <c r="J39" s="42" t="s">
        <v>33</v>
      </c>
      <c r="K39" s="42" t="s">
        <v>24</v>
      </c>
      <c r="L39" s="42"/>
      <c r="M39" s="42" t="s">
        <v>33</v>
      </c>
      <c r="N39" s="42" t="s">
        <v>21</v>
      </c>
      <c r="O39" s="42"/>
      <c r="P39" s="42" t="s">
        <v>24</v>
      </c>
      <c r="Q39" s="42" t="s">
        <v>21</v>
      </c>
      <c r="R39" s="42"/>
      <c r="S39" s="42" t="s">
        <v>21</v>
      </c>
      <c r="T39" s="42" t="s">
        <v>21</v>
      </c>
      <c r="U39" s="42"/>
      <c r="V39" s="42" t="s">
        <v>24</v>
      </c>
      <c r="W39" s="42" t="s">
        <v>21</v>
      </c>
      <c r="X39" s="33">
        <f t="shared" si="3"/>
        <v>0.5</v>
      </c>
      <c r="Y39" s="49" t="s">
        <v>159</v>
      </c>
      <c r="Z39" s="46">
        <f>COUNTIF(G3:G98, "Bo")</f>
        <v>1</v>
      </c>
      <c r="AA39" s="44"/>
      <c r="AB39" s="44"/>
      <c r="AC39" s="44"/>
    </row>
    <row r="40" ht="15.75" customHeight="1">
      <c r="A40" s="25">
        <f t="shared" si="1"/>
        <v>12</v>
      </c>
      <c r="B40" s="25">
        <f t="shared" si="2"/>
        <v>7</v>
      </c>
      <c r="C40" s="26" t="s">
        <v>46</v>
      </c>
      <c r="D40" s="27" t="s">
        <v>196</v>
      </c>
      <c r="E40" s="28" t="s">
        <v>70</v>
      </c>
      <c r="F40" s="28" t="s">
        <v>61</v>
      </c>
      <c r="G40" s="29" t="s">
        <v>20</v>
      </c>
      <c r="H40" s="31" t="s">
        <v>92</v>
      </c>
      <c r="I40" s="32" t="s">
        <v>267</v>
      </c>
      <c r="J40" s="42" t="s">
        <v>21</v>
      </c>
      <c r="K40" s="42" t="s">
        <v>24</v>
      </c>
      <c r="L40" s="42"/>
      <c r="M40" s="42" t="s">
        <v>21</v>
      </c>
      <c r="N40" s="42" t="s">
        <v>21</v>
      </c>
      <c r="O40" s="42"/>
      <c r="P40" s="42" t="s">
        <v>21</v>
      </c>
      <c r="Q40" s="42" t="s">
        <v>21</v>
      </c>
      <c r="R40" s="42"/>
      <c r="S40" s="42" t="s">
        <v>21</v>
      </c>
      <c r="T40" s="42" t="s">
        <v>21</v>
      </c>
      <c r="U40" s="42"/>
      <c r="V40" s="42" t="s">
        <v>21</v>
      </c>
      <c r="W40" s="42" t="s">
        <v>21</v>
      </c>
      <c r="X40" s="33">
        <f t="shared" si="3"/>
        <v>0.9</v>
      </c>
    </row>
    <row r="41" ht="15.75" customHeight="1">
      <c r="A41" s="25">
        <f t="shared" si="1"/>
        <v>12</v>
      </c>
      <c r="B41" s="25">
        <f t="shared" si="2"/>
        <v>7</v>
      </c>
      <c r="C41" s="26" t="s">
        <v>46</v>
      </c>
      <c r="D41" s="27" t="s">
        <v>190</v>
      </c>
      <c r="E41" s="28" t="s">
        <v>70</v>
      </c>
      <c r="F41" s="28" t="s">
        <v>48</v>
      </c>
      <c r="G41" s="29" t="s">
        <v>191</v>
      </c>
      <c r="H41" s="31" t="s">
        <v>92</v>
      </c>
      <c r="I41" s="32" t="s">
        <v>268</v>
      </c>
      <c r="J41" s="42" t="s">
        <v>21</v>
      </c>
      <c r="K41" s="42" t="s">
        <v>21</v>
      </c>
      <c r="L41" s="42"/>
      <c r="M41" s="42" t="s">
        <v>24</v>
      </c>
      <c r="N41" s="42" t="s">
        <v>21</v>
      </c>
      <c r="O41" s="42"/>
      <c r="P41" s="42" t="s">
        <v>21</v>
      </c>
      <c r="Q41" s="42" t="s">
        <v>24</v>
      </c>
      <c r="R41" s="42"/>
      <c r="S41" s="42" t="s">
        <v>21</v>
      </c>
      <c r="T41" s="42" t="s">
        <v>21</v>
      </c>
      <c r="U41" s="42"/>
      <c r="V41" s="42" t="s">
        <v>21</v>
      </c>
      <c r="W41" s="42" t="s">
        <v>21</v>
      </c>
      <c r="X41" s="33">
        <f t="shared" si="3"/>
        <v>0.8</v>
      </c>
    </row>
    <row r="42" ht="15.75" customHeight="1">
      <c r="A42" s="25">
        <f t="shared" si="1"/>
        <v>12</v>
      </c>
      <c r="B42" s="25">
        <f t="shared" si="2"/>
        <v>8</v>
      </c>
      <c r="C42" s="26" t="s">
        <v>54</v>
      </c>
      <c r="D42" s="27" t="s">
        <v>188</v>
      </c>
      <c r="E42" s="28" t="s">
        <v>41</v>
      </c>
      <c r="F42" s="28" t="s">
        <v>61</v>
      </c>
      <c r="G42" s="29" t="s">
        <v>62</v>
      </c>
      <c r="H42" s="31" t="s">
        <v>92</v>
      </c>
      <c r="I42" s="32"/>
      <c r="J42" s="42" t="s">
        <v>21</v>
      </c>
      <c r="K42" s="42" t="s">
        <v>21</v>
      </c>
      <c r="L42" s="42"/>
      <c r="M42" s="42" t="s">
        <v>21</v>
      </c>
      <c r="N42" s="42" t="s">
        <v>21</v>
      </c>
      <c r="O42" s="42"/>
      <c r="P42" s="42" t="s">
        <v>21</v>
      </c>
      <c r="Q42" s="42" t="s">
        <v>21</v>
      </c>
      <c r="R42" s="42"/>
      <c r="S42" s="42" t="s">
        <v>21</v>
      </c>
      <c r="T42" s="42" t="s">
        <v>24</v>
      </c>
      <c r="U42" s="42"/>
      <c r="V42" s="42" t="s">
        <v>24</v>
      </c>
      <c r="W42" s="42" t="s">
        <v>24</v>
      </c>
      <c r="X42" s="33">
        <f t="shared" si="3"/>
        <v>0.7</v>
      </c>
      <c r="Y42" s="55" t="s">
        <v>167</v>
      </c>
      <c r="Z42" s="5"/>
      <c r="AA42" s="47"/>
      <c r="AB42" s="55" t="s">
        <v>168</v>
      </c>
      <c r="AC42" s="57"/>
    </row>
    <row r="43" ht="15.75" customHeight="1">
      <c r="A43" s="25">
        <f t="shared" si="1"/>
        <v>12</v>
      </c>
      <c r="B43" s="25">
        <f t="shared" si="2"/>
        <v>10</v>
      </c>
      <c r="C43" s="26" t="s">
        <v>84</v>
      </c>
      <c r="D43" s="27" t="s">
        <v>207</v>
      </c>
      <c r="E43" s="28" t="s">
        <v>19</v>
      </c>
      <c r="F43" s="28"/>
      <c r="G43" s="29" t="s">
        <v>49</v>
      </c>
      <c r="H43" s="31" t="s">
        <v>92</v>
      </c>
      <c r="I43" s="32"/>
      <c r="J43" s="42" t="s">
        <v>21</v>
      </c>
      <c r="K43" s="42" t="s">
        <v>52</v>
      </c>
      <c r="L43" s="42"/>
      <c r="M43" s="42" t="s">
        <v>21</v>
      </c>
      <c r="N43" s="42" t="s">
        <v>21</v>
      </c>
      <c r="O43" s="42"/>
      <c r="P43" s="42" t="s">
        <v>24</v>
      </c>
      <c r="Q43" s="42" t="s">
        <v>24</v>
      </c>
      <c r="R43" s="42"/>
      <c r="S43" s="42" t="s">
        <v>21</v>
      </c>
      <c r="T43" s="42" t="s">
        <v>21</v>
      </c>
      <c r="U43" s="42"/>
      <c r="V43" s="42" t="s">
        <v>21</v>
      </c>
      <c r="W43" s="42" t="s">
        <v>24</v>
      </c>
      <c r="X43" s="33">
        <f t="shared" si="3"/>
        <v>0.65</v>
      </c>
      <c r="Y43" s="56" t="s">
        <v>9</v>
      </c>
      <c r="Z43" s="57"/>
      <c r="AA43" s="58" t="s">
        <v>170</v>
      </c>
      <c r="AB43" s="58" t="s">
        <v>171</v>
      </c>
      <c r="AC43" s="58" t="s">
        <v>176</v>
      </c>
    </row>
    <row r="44" ht="15.75" customHeight="1">
      <c r="A44" s="25">
        <f t="shared" si="1"/>
        <v>12</v>
      </c>
      <c r="B44" s="25">
        <f t="shared" si="2"/>
        <v>10</v>
      </c>
      <c r="C44" s="26" t="s">
        <v>84</v>
      </c>
      <c r="D44" s="62" t="s">
        <v>198</v>
      </c>
      <c r="E44" s="28" t="s">
        <v>70</v>
      </c>
      <c r="F44" s="28" t="s">
        <v>61</v>
      </c>
      <c r="G44" s="29" t="s">
        <v>71</v>
      </c>
      <c r="H44" s="31" t="s">
        <v>92</v>
      </c>
      <c r="I44" s="32"/>
      <c r="J44" s="42" t="s">
        <v>65</v>
      </c>
      <c r="K44" s="42" t="s">
        <v>65</v>
      </c>
      <c r="L44" s="42"/>
      <c r="M44" s="42" t="s">
        <v>65</v>
      </c>
      <c r="N44" s="42" t="s">
        <v>65</v>
      </c>
      <c r="O44" s="42"/>
      <c r="P44" s="42" t="s">
        <v>65</v>
      </c>
      <c r="Q44" s="42" t="s">
        <v>65</v>
      </c>
      <c r="R44" s="42"/>
      <c r="S44" s="42" t="s">
        <v>65</v>
      </c>
      <c r="T44" s="42" t="s">
        <v>21</v>
      </c>
      <c r="U44" s="42"/>
      <c r="V44" s="42" t="s">
        <v>21</v>
      </c>
      <c r="W44" s="42" t="s">
        <v>21</v>
      </c>
      <c r="X44" s="33">
        <f t="shared" si="3"/>
        <v>0.3</v>
      </c>
      <c r="Y44" s="59" t="s">
        <v>287</v>
      </c>
      <c r="Z44" s="57"/>
      <c r="AA44" s="147">
        <v>43251.0</v>
      </c>
      <c r="AB44" s="61" t="s">
        <v>179</v>
      </c>
      <c r="AC44" s="61" t="s">
        <v>179</v>
      </c>
    </row>
    <row r="45" ht="15.75" customHeight="1">
      <c r="A45" s="25">
        <f t="shared" si="1"/>
        <v>13</v>
      </c>
      <c r="B45" s="25">
        <f t="shared" si="2"/>
        <v>9</v>
      </c>
      <c r="C45" s="26" t="s">
        <v>64</v>
      </c>
      <c r="D45" s="27" t="s">
        <v>215</v>
      </c>
      <c r="E45" s="28" t="s">
        <v>41</v>
      </c>
      <c r="F45" s="28" t="s">
        <v>19</v>
      </c>
      <c r="G45" s="29" t="s">
        <v>71</v>
      </c>
      <c r="H45" s="31" t="s">
        <v>95</v>
      </c>
      <c r="I45" s="32"/>
      <c r="J45" s="42" t="s">
        <v>21</v>
      </c>
      <c r="K45" s="42" t="s">
        <v>21</v>
      </c>
      <c r="L45" s="42" t="s">
        <v>58</v>
      </c>
      <c r="M45" s="42" t="s">
        <v>21</v>
      </c>
      <c r="N45" s="42" t="s">
        <v>21</v>
      </c>
      <c r="O45" s="42"/>
      <c r="P45" s="42" t="s">
        <v>21</v>
      </c>
      <c r="Q45" s="42" t="s">
        <v>21</v>
      </c>
      <c r="R45" s="42"/>
      <c r="S45" s="42" t="s">
        <v>24</v>
      </c>
      <c r="T45" s="42" t="s">
        <v>21</v>
      </c>
      <c r="U45" s="42"/>
      <c r="V45" s="42" t="s">
        <v>24</v>
      </c>
      <c r="W45" s="42" t="s">
        <v>21</v>
      </c>
      <c r="X45" s="33">
        <f t="shared" si="3"/>
        <v>0.85</v>
      </c>
      <c r="Y45" s="59" t="s">
        <v>291</v>
      </c>
      <c r="Z45" s="57"/>
      <c r="AA45" s="60">
        <v>43274.0</v>
      </c>
      <c r="AB45" s="61" t="s">
        <v>179</v>
      </c>
      <c r="AC45" s="61" t="s">
        <v>179</v>
      </c>
    </row>
    <row r="46" ht="15.75" customHeight="1">
      <c r="A46" s="25">
        <f t="shared" si="1"/>
        <v>13</v>
      </c>
      <c r="B46" s="25">
        <f t="shared" si="2"/>
        <v>9</v>
      </c>
      <c r="C46" s="26" t="s">
        <v>64</v>
      </c>
      <c r="D46" s="27" t="s">
        <v>75</v>
      </c>
      <c r="E46" s="28" t="s">
        <v>70</v>
      </c>
      <c r="F46" s="28" t="s">
        <v>76</v>
      </c>
      <c r="G46" s="29" t="s">
        <v>71</v>
      </c>
      <c r="H46" s="31" t="s">
        <v>95</v>
      </c>
      <c r="I46" s="32"/>
      <c r="J46" s="42" t="s">
        <v>30</v>
      </c>
      <c r="K46" s="42" t="s">
        <v>30</v>
      </c>
      <c r="L46" s="42" t="s">
        <v>30</v>
      </c>
      <c r="M46" s="42" t="s">
        <v>30</v>
      </c>
      <c r="N46" s="42" t="s">
        <v>21</v>
      </c>
      <c r="O46" s="42"/>
      <c r="P46" s="42" t="s">
        <v>21</v>
      </c>
      <c r="Q46" s="42" t="s">
        <v>21</v>
      </c>
      <c r="R46" s="42"/>
      <c r="S46" s="42" t="s">
        <v>24</v>
      </c>
      <c r="T46" s="42" t="s">
        <v>21</v>
      </c>
      <c r="U46" s="42"/>
      <c r="V46" s="42" t="s">
        <v>24</v>
      </c>
      <c r="W46" s="42" t="s">
        <v>24</v>
      </c>
      <c r="X46" s="33">
        <f t="shared" si="3"/>
        <v>0.4</v>
      </c>
      <c r="Y46" s="59" t="s">
        <v>270</v>
      </c>
      <c r="Z46" s="57"/>
      <c r="AA46" s="60">
        <v>43281.0</v>
      </c>
      <c r="AB46" s="61" t="s">
        <v>182</v>
      </c>
      <c r="AC46" s="61" t="s">
        <v>179</v>
      </c>
    </row>
    <row r="47" ht="15.75" customHeight="1">
      <c r="A47" s="25">
        <f t="shared" si="1"/>
        <v>13</v>
      </c>
      <c r="B47" s="25">
        <f t="shared" si="2"/>
        <v>10</v>
      </c>
      <c r="C47" s="26" t="s">
        <v>84</v>
      </c>
      <c r="D47" s="27" t="s">
        <v>211</v>
      </c>
      <c r="E47" s="28" t="s">
        <v>61</v>
      </c>
      <c r="F47" s="28" t="s">
        <v>19</v>
      </c>
      <c r="G47" s="29" t="s">
        <v>62</v>
      </c>
      <c r="H47" s="31" t="s">
        <v>95</v>
      </c>
      <c r="I47" s="32"/>
      <c r="J47" s="42" t="s">
        <v>21</v>
      </c>
      <c r="K47" s="42" t="s">
        <v>21</v>
      </c>
      <c r="L47" s="42" t="s">
        <v>58</v>
      </c>
      <c r="M47" s="42" t="s">
        <v>21</v>
      </c>
      <c r="N47" s="42" t="s">
        <v>21</v>
      </c>
      <c r="O47" s="42"/>
      <c r="P47" s="42" t="s">
        <v>21</v>
      </c>
      <c r="Q47" s="42" t="s">
        <v>21</v>
      </c>
      <c r="R47" s="42" t="s">
        <v>58</v>
      </c>
      <c r="S47" s="42" t="s">
        <v>21</v>
      </c>
      <c r="T47" s="42" t="s">
        <v>21</v>
      </c>
      <c r="U47" s="42"/>
      <c r="V47" s="42" t="s">
        <v>21</v>
      </c>
      <c r="W47" s="42" t="s">
        <v>21</v>
      </c>
      <c r="X47" s="33">
        <f t="shared" si="3"/>
        <v>1.1</v>
      </c>
      <c r="Y47" s="59" t="s">
        <v>293</v>
      </c>
      <c r="Z47" s="57"/>
      <c r="AA47" s="60">
        <v>43262.0</v>
      </c>
      <c r="AB47" s="61" t="s">
        <v>182</v>
      </c>
      <c r="AC47" s="61" t="s">
        <v>182</v>
      </c>
    </row>
    <row r="48" ht="15.75" customHeight="1">
      <c r="A48" s="25">
        <f t="shared" si="1"/>
        <v>13</v>
      </c>
      <c r="B48" s="25">
        <f t="shared" si="2"/>
        <v>10</v>
      </c>
      <c r="C48" s="26" t="s">
        <v>84</v>
      </c>
      <c r="D48" s="27" t="s">
        <v>242</v>
      </c>
      <c r="E48" s="28" t="s">
        <v>76</v>
      </c>
      <c r="F48" s="28"/>
      <c r="G48" s="29" t="s">
        <v>49</v>
      </c>
      <c r="H48" s="31" t="s">
        <v>95</v>
      </c>
      <c r="I48" s="32"/>
      <c r="J48" s="42" t="s">
        <v>21</v>
      </c>
      <c r="K48" s="42" t="s">
        <v>24</v>
      </c>
      <c r="L48" s="42" t="s">
        <v>58</v>
      </c>
      <c r="M48" s="42" t="s">
        <v>21</v>
      </c>
      <c r="N48" s="42" t="s">
        <v>52</v>
      </c>
      <c r="O48" s="42"/>
      <c r="P48" s="42" t="s">
        <v>21</v>
      </c>
      <c r="Q48" s="42" t="s">
        <v>21</v>
      </c>
      <c r="R48" s="42"/>
      <c r="S48" s="42" t="s">
        <v>24</v>
      </c>
      <c r="T48" s="42" t="s">
        <v>21</v>
      </c>
      <c r="U48" s="42"/>
      <c r="V48" s="42" t="s">
        <v>21</v>
      </c>
      <c r="W48" s="42" t="s">
        <v>21</v>
      </c>
      <c r="X48" s="33">
        <f t="shared" si="3"/>
        <v>0.8</v>
      </c>
      <c r="Y48" s="59"/>
      <c r="Z48" s="57"/>
      <c r="AA48" s="60"/>
      <c r="AB48" s="61"/>
      <c r="AC48" s="61"/>
    </row>
    <row r="49" ht="15.75" customHeight="1">
      <c r="A49" s="25">
        <f t="shared" si="1"/>
        <v>13</v>
      </c>
      <c r="B49" s="25">
        <v>11.0</v>
      </c>
      <c r="C49" s="26" t="s">
        <v>79</v>
      </c>
      <c r="D49" s="27" t="s">
        <v>247</v>
      </c>
      <c r="E49" s="28" t="s">
        <v>19</v>
      </c>
      <c r="F49" s="28"/>
      <c r="G49" s="29" t="s">
        <v>62</v>
      </c>
      <c r="H49" s="31" t="s">
        <v>95</v>
      </c>
      <c r="I49" s="32"/>
      <c r="J49" s="42" t="s">
        <v>24</v>
      </c>
      <c r="K49" s="42" t="s">
        <v>21</v>
      </c>
      <c r="L49" s="42" t="s">
        <v>58</v>
      </c>
      <c r="M49" s="42" t="s">
        <v>21</v>
      </c>
      <c r="N49" s="42" t="s">
        <v>21</v>
      </c>
      <c r="O49" s="42"/>
      <c r="P49" s="42" t="s">
        <v>24</v>
      </c>
      <c r="Q49" s="42" t="s">
        <v>21</v>
      </c>
      <c r="R49" s="42" t="s">
        <v>58</v>
      </c>
      <c r="S49" s="42" t="s">
        <v>21</v>
      </c>
      <c r="T49" s="42" t="s">
        <v>21</v>
      </c>
      <c r="U49" s="42"/>
      <c r="V49" s="42" t="s">
        <v>24</v>
      </c>
      <c r="W49" s="42" t="s">
        <v>37</v>
      </c>
      <c r="X49" s="33">
        <f t="shared" si="3"/>
        <v>0.7</v>
      </c>
      <c r="Y49" s="59"/>
      <c r="Z49" s="57"/>
      <c r="AA49" s="60"/>
      <c r="AB49" s="61"/>
      <c r="AC49" s="61"/>
    </row>
    <row r="50" ht="15.75" customHeight="1">
      <c r="A50" s="25">
        <f t="shared" si="1"/>
        <v>15</v>
      </c>
      <c r="B50" s="25">
        <f t="shared" ref="B50:B98" si="4">IF(C50="Cap.",1,IF(C50="Tte.",2,IF(C50="Alf.",3,IF(C50="SgtM.",4,IF(C50="Sgt1.",5,IF(C50="Sgt.",6,IF(C50="Cbo1.",7,IF(C50="Cbo.",8,IF(C50="Dis.",9,IF(C50="Inf.",10,IF(C50="Rct.",11,15)))))))))))</f>
        <v>11</v>
      </c>
      <c r="C50" s="26" t="s">
        <v>79</v>
      </c>
      <c r="D50" s="27" t="s">
        <v>177</v>
      </c>
      <c r="E50" s="28" t="s">
        <v>19</v>
      </c>
      <c r="F50" s="28"/>
      <c r="G50" s="29" t="s">
        <v>71</v>
      </c>
      <c r="H50" s="31" t="s">
        <v>38</v>
      </c>
      <c r="I50" s="32" t="s">
        <v>38</v>
      </c>
      <c r="J50" s="42" t="s">
        <v>21</v>
      </c>
      <c r="K50" s="42" t="s">
        <v>24</v>
      </c>
      <c r="L50" s="42" t="s">
        <v>58</v>
      </c>
      <c r="M50" s="42" t="s">
        <v>52</v>
      </c>
      <c r="N50" s="42" t="s">
        <v>24</v>
      </c>
      <c r="O50" s="42"/>
      <c r="P50" s="42" t="s">
        <v>21</v>
      </c>
      <c r="Q50" s="42" t="s">
        <v>24</v>
      </c>
      <c r="R50" s="42" t="s">
        <v>58</v>
      </c>
      <c r="S50" s="42" t="s">
        <v>24</v>
      </c>
      <c r="T50" s="42" t="s">
        <v>37</v>
      </c>
      <c r="U50" s="42" t="s">
        <v>37</v>
      </c>
      <c r="V50" s="42" t="s">
        <v>37</v>
      </c>
      <c r="W50" s="42" t="s">
        <v>37</v>
      </c>
      <c r="X50" s="33">
        <f t="shared" si="3"/>
        <v>0.35</v>
      </c>
      <c r="Y50" s="59"/>
      <c r="Z50" s="57"/>
      <c r="AA50" s="60"/>
      <c r="AB50" s="61"/>
      <c r="AC50" s="61"/>
    </row>
    <row r="51" ht="15.75" customHeight="1">
      <c r="A51" s="25">
        <f t="shared" si="1"/>
        <v>15</v>
      </c>
      <c r="B51" s="25">
        <f t="shared" si="4"/>
        <v>11</v>
      </c>
      <c r="C51" s="26" t="s">
        <v>79</v>
      </c>
      <c r="D51" s="27" t="s">
        <v>294</v>
      </c>
      <c r="E51" s="28" t="s">
        <v>19</v>
      </c>
      <c r="F51" s="28"/>
      <c r="G51" s="29" t="s">
        <v>71</v>
      </c>
      <c r="H51" s="31" t="s">
        <v>38</v>
      </c>
      <c r="I51" s="32" t="s">
        <v>38</v>
      </c>
      <c r="J51" s="42" t="s">
        <v>37</v>
      </c>
      <c r="K51" s="42" t="s">
        <v>37</v>
      </c>
      <c r="L51" s="42" t="s">
        <v>37</v>
      </c>
      <c r="M51" s="42" t="s">
        <v>37</v>
      </c>
      <c r="N51" s="42" t="s">
        <v>37</v>
      </c>
      <c r="O51" s="42" t="s">
        <v>37</v>
      </c>
      <c r="P51" s="42" t="s">
        <v>37</v>
      </c>
      <c r="Q51" s="42" t="s">
        <v>37</v>
      </c>
      <c r="R51" s="42" t="s">
        <v>37</v>
      </c>
      <c r="S51" s="42" t="s">
        <v>37</v>
      </c>
      <c r="T51" s="42" t="s">
        <v>37</v>
      </c>
      <c r="U51" s="42" t="s">
        <v>37</v>
      </c>
      <c r="V51" s="42" t="s">
        <v>37</v>
      </c>
      <c r="W51" s="42" t="s">
        <v>37</v>
      </c>
      <c r="X51" s="33">
        <f t="shared" si="3"/>
        <v>0</v>
      </c>
      <c r="Y51" s="59"/>
      <c r="Z51" s="57"/>
      <c r="AA51" s="60"/>
      <c r="AB51" s="61"/>
      <c r="AC51" s="61"/>
    </row>
    <row r="52" ht="15.75" customHeight="1">
      <c r="A52" s="25">
        <f t="shared" si="1"/>
        <v>15</v>
      </c>
      <c r="B52" s="25">
        <f t="shared" si="4"/>
        <v>6</v>
      </c>
      <c r="C52" s="26" t="s">
        <v>113</v>
      </c>
      <c r="D52" s="27" t="s">
        <v>169</v>
      </c>
      <c r="E52" s="28" t="s">
        <v>41</v>
      </c>
      <c r="F52" s="28" t="s">
        <v>19</v>
      </c>
      <c r="G52" s="29" t="s">
        <v>20</v>
      </c>
      <c r="H52" s="31" t="s">
        <v>101</v>
      </c>
      <c r="I52" s="32" t="s">
        <v>101</v>
      </c>
      <c r="J52" s="42" t="s">
        <v>30</v>
      </c>
      <c r="K52" s="42" t="s">
        <v>30</v>
      </c>
      <c r="L52" s="42" t="s">
        <v>30</v>
      </c>
      <c r="M52" s="42" t="s">
        <v>30</v>
      </c>
      <c r="N52" s="42" t="s">
        <v>30</v>
      </c>
      <c r="O52" s="42" t="s">
        <v>30</v>
      </c>
      <c r="P52" s="42" t="s">
        <v>30</v>
      </c>
      <c r="Q52" s="42" t="s">
        <v>30</v>
      </c>
      <c r="R52" s="42" t="s">
        <v>30</v>
      </c>
      <c r="S52" s="42" t="s">
        <v>30</v>
      </c>
      <c r="T52" s="42" t="s">
        <v>30</v>
      </c>
      <c r="U52" s="42" t="s">
        <v>30</v>
      </c>
      <c r="V52" s="42" t="s">
        <v>30</v>
      </c>
      <c r="W52" s="42" t="s">
        <v>30</v>
      </c>
      <c r="X52" s="33">
        <f t="shared" si="3"/>
        <v>0</v>
      </c>
      <c r="Y52" s="59"/>
      <c r="Z52" s="57"/>
      <c r="AA52" s="60"/>
      <c r="AB52" s="61"/>
      <c r="AC52" s="61"/>
    </row>
    <row r="53" ht="15.75" customHeight="1">
      <c r="A53" s="25">
        <f t="shared" si="1"/>
        <v>15</v>
      </c>
      <c r="B53" s="25">
        <f t="shared" si="4"/>
        <v>7</v>
      </c>
      <c r="C53" s="26" t="s">
        <v>46</v>
      </c>
      <c r="D53" s="27" t="s">
        <v>272</v>
      </c>
      <c r="E53" s="28" t="s">
        <v>70</v>
      </c>
      <c r="F53" s="28" t="s">
        <v>19</v>
      </c>
      <c r="G53" s="29" t="s">
        <v>20</v>
      </c>
      <c r="H53" s="31" t="s">
        <v>101</v>
      </c>
      <c r="I53" s="32" t="s">
        <v>101</v>
      </c>
      <c r="J53" s="42" t="s">
        <v>30</v>
      </c>
      <c r="K53" s="42" t="s">
        <v>30</v>
      </c>
      <c r="L53" s="42" t="s">
        <v>30</v>
      </c>
      <c r="M53" s="42" t="s">
        <v>30</v>
      </c>
      <c r="N53" s="42" t="s">
        <v>30</v>
      </c>
      <c r="O53" s="42" t="s">
        <v>30</v>
      </c>
      <c r="P53" s="42" t="s">
        <v>30</v>
      </c>
      <c r="Q53" s="42" t="s">
        <v>30</v>
      </c>
      <c r="R53" s="42" t="s">
        <v>30</v>
      </c>
      <c r="S53" s="42" t="s">
        <v>30</v>
      </c>
      <c r="T53" s="42" t="s">
        <v>30</v>
      </c>
      <c r="U53" s="42" t="s">
        <v>30</v>
      </c>
      <c r="V53" s="42" t="s">
        <v>30</v>
      </c>
      <c r="W53" s="42" t="s">
        <v>30</v>
      </c>
      <c r="X53" s="33">
        <f t="shared" si="3"/>
        <v>0</v>
      </c>
      <c r="Y53" s="59"/>
      <c r="Z53" s="57"/>
      <c r="AA53" s="60"/>
      <c r="AB53" s="61"/>
      <c r="AC53" s="61"/>
    </row>
    <row r="54" ht="15.75" customHeight="1">
      <c r="A54" s="25">
        <f t="shared" si="1"/>
        <v>15</v>
      </c>
      <c r="B54" s="25">
        <f t="shared" si="4"/>
        <v>7</v>
      </c>
      <c r="C54" s="26" t="s">
        <v>46</v>
      </c>
      <c r="D54" s="27" t="s">
        <v>173</v>
      </c>
      <c r="E54" s="28" t="s">
        <v>76</v>
      </c>
      <c r="F54" s="28" t="s">
        <v>56</v>
      </c>
      <c r="G54" s="29" t="s">
        <v>20</v>
      </c>
      <c r="H54" s="31" t="s">
        <v>101</v>
      </c>
      <c r="I54" s="32" t="s">
        <v>101</v>
      </c>
      <c r="J54" s="42" t="s">
        <v>30</v>
      </c>
      <c r="K54" s="42" t="s">
        <v>30</v>
      </c>
      <c r="L54" s="42" t="s">
        <v>30</v>
      </c>
      <c r="M54" s="42" t="s">
        <v>30</v>
      </c>
      <c r="N54" s="42" t="s">
        <v>30</v>
      </c>
      <c r="O54" s="42" t="s">
        <v>30</v>
      </c>
      <c r="P54" s="42" t="s">
        <v>30</v>
      </c>
      <c r="Q54" s="42" t="s">
        <v>30</v>
      </c>
      <c r="R54" s="42" t="s">
        <v>30</v>
      </c>
      <c r="S54" s="42" t="s">
        <v>30</v>
      </c>
      <c r="T54" s="42" t="s">
        <v>30</v>
      </c>
      <c r="U54" s="42" t="s">
        <v>30</v>
      </c>
      <c r="V54" s="42" t="s">
        <v>30</v>
      </c>
      <c r="W54" s="42" t="s">
        <v>30</v>
      </c>
      <c r="X54" s="33">
        <f t="shared" si="3"/>
        <v>0</v>
      </c>
      <c r="Y54" s="59"/>
      <c r="Z54" s="57"/>
      <c r="AA54" s="60"/>
      <c r="AB54" s="61"/>
      <c r="AC54" s="61"/>
    </row>
    <row r="55" ht="15.75" customHeight="1">
      <c r="A55" s="25">
        <f t="shared" si="1"/>
        <v>15</v>
      </c>
      <c r="B55" s="25">
        <f t="shared" si="4"/>
        <v>8</v>
      </c>
      <c r="C55" s="26" t="s">
        <v>54</v>
      </c>
      <c r="D55" s="27" t="s">
        <v>193</v>
      </c>
      <c r="E55" s="28" t="s">
        <v>19</v>
      </c>
      <c r="F55" s="28"/>
      <c r="G55" s="29" t="s">
        <v>49</v>
      </c>
      <c r="H55" s="31" t="s">
        <v>101</v>
      </c>
      <c r="I55" s="32" t="s">
        <v>101</v>
      </c>
      <c r="J55" s="42" t="s">
        <v>30</v>
      </c>
      <c r="K55" s="42" t="s">
        <v>30</v>
      </c>
      <c r="L55" s="42" t="s">
        <v>30</v>
      </c>
      <c r="M55" s="42" t="s">
        <v>30</v>
      </c>
      <c r="N55" s="42" t="s">
        <v>30</v>
      </c>
      <c r="O55" s="42" t="s">
        <v>30</v>
      </c>
      <c r="P55" s="42" t="s">
        <v>30</v>
      </c>
      <c r="Q55" s="42" t="s">
        <v>30</v>
      </c>
      <c r="R55" s="42" t="s">
        <v>30</v>
      </c>
      <c r="S55" s="42" t="s">
        <v>30</v>
      </c>
      <c r="T55" s="42" t="s">
        <v>30</v>
      </c>
      <c r="U55" s="42" t="s">
        <v>30</v>
      </c>
      <c r="V55" s="42" t="s">
        <v>30</v>
      </c>
      <c r="W55" s="42" t="s">
        <v>30</v>
      </c>
      <c r="X55" s="33">
        <f t="shared" si="3"/>
        <v>0</v>
      </c>
      <c r="Y55" s="59"/>
      <c r="Z55" s="57"/>
      <c r="AA55" s="60"/>
      <c r="AB55" s="61"/>
      <c r="AC55" s="61"/>
    </row>
    <row r="56" ht="15.75" customHeight="1">
      <c r="A56" s="25">
        <f t="shared" si="1"/>
        <v>15</v>
      </c>
      <c r="B56" s="25">
        <f t="shared" si="4"/>
        <v>8</v>
      </c>
      <c r="C56" s="26" t="s">
        <v>54</v>
      </c>
      <c r="D56" s="27" t="s">
        <v>103</v>
      </c>
      <c r="E56" s="28" t="s">
        <v>70</v>
      </c>
      <c r="F56" s="28" t="s">
        <v>19</v>
      </c>
      <c r="G56" s="29" t="s">
        <v>20</v>
      </c>
      <c r="H56" s="31" t="s">
        <v>101</v>
      </c>
      <c r="I56" s="32" t="s">
        <v>101</v>
      </c>
      <c r="J56" s="42" t="s">
        <v>30</v>
      </c>
      <c r="K56" s="42" t="s">
        <v>30</v>
      </c>
      <c r="L56" s="42" t="s">
        <v>30</v>
      </c>
      <c r="M56" s="42" t="s">
        <v>30</v>
      </c>
      <c r="N56" s="42" t="s">
        <v>30</v>
      </c>
      <c r="O56" s="42" t="s">
        <v>30</v>
      </c>
      <c r="P56" s="42" t="s">
        <v>30</v>
      </c>
      <c r="Q56" s="42" t="s">
        <v>30</v>
      </c>
      <c r="R56" s="42" t="s">
        <v>30</v>
      </c>
      <c r="S56" s="42" t="s">
        <v>30</v>
      </c>
      <c r="T56" s="42" t="s">
        <v>30</v>
      </c>
      <c r="U56" s="42" t="s">
        <v>30</v>
      </c>
      <c r="V56" s="42" t="s">
        <v>30</v>
      </c>
      <c r="W56" s="42" t="s">
        <v>30</v>
      </c>
      <c r="X56" s="33">
        <f t="shared" si="3"/>
        <v>0</v>
      </c>
      <c r="Y56" s="59"/>
      <c r="Z56" s="57"/>
      <c r="AA56" s="60"/>
      <c r="AB56" s="61"/>
      <c r="AC56" s="61"/>
    </row>
    <row r="57" ht="15.75" customHeight="1">
      <c r="A57" s="25">
        <f t="shared" si="1"/>
        <v>15</v>
      </c>
      <c r="B57" s="25">
        <f t="shared" si="4"/>
        <v>8</v>
      </c>
      <c r="C57" s="26" t="s">
        <v>54</v>
      </c>
      <c r="D57" s="27" t="s">
        <v>105</v>
      </c>
      <c r="E57" s="28" t="s">
        <v>41</v>
      </c>
      <c r="F57" s="28" t="s">
        <v>56</v>
      </c>
      <c r="G57" s="29" t="s">
        <v>49</v>
      </c>
      <c r="H57" s="31" t="s">
        <v>101</v>
      </c>
      <c r="I57" s="32" t="s">
        <v>101</v>
      </c>
      <c r="J57" s="42" t="s">
        <v>30</v>
      </c>
      <c r="K57" s="42" t="s">
        <v>30</v>
      </c>
      <c r="L57" s="42" t="s">
        <v>30</v>
      </c>
      <c r="M57" s="42" t="s">
        <v>30</v>
      </c>
      <c r="N57" s="42" t="s">
        <v>30</v>
      </c>
      <c r="O57" s="42" t="s">
        <v>30</v>
      </c>
      <c r="P57" s="42" t="s">
        <v>30</v>
      </c>
      <c r="Q57" s="42" t="s">
        <v>30</v>
      </c>
      <c r="R57" s="42" t="s">
        <v>30</v>
      </c>
      <c r="S57" s="42" t="s">
        <v>30</v>
      </c>
      <c r="T57" s="42" t="s">
        <v>30</v>
      </c>
      <c r="U57" s="42" t="s">
        <v>30</v>
      </c>
      <c r="V57" s="42" t="s">
        <v>30</v>
      </c>
      <c r="W57" s="42" t="s">
        <v>30</v>
      </c>
      <c r="X57" s="33">
        <f t="shared" si="3"/>
        <v>0</v>
      </c>
    </row>
    <row r="58" ht="15.75" customHeight="1">
      <c r="A58" s="25">
        <f t="shared" si="1"/>
        <v>15</v>
      </c>
      <c r="B58" s="25">
        <f t="shared" si="4"/>
        <v>9</v>
      </c>
      <c r="C58" s="26" t="s">
        <v>64</v>
      </c>
      <c r="D58" s="27" t="s">
        <v>187</v>
      </c>
      <c r="E58" s="28" t="s">
        <v>61</v>
      </c>
      <c r="F58" s="28" t="s">
        <v>41</v>
      </c>
      <c r="G58" s="29" t="s">
        <v>163</v>
      </c>
      <c r="H58" s="31" t="s">
        <v>101</v>
      </c>
      <c r="I58" s="32" t="s">
        <v>101</v>
      </c>
      <c r="J58" s="42" t="s">
        <v>30</v>
      </c>
      <c r="K58" s="42" t="s">
        <v>30</v>
      </c>
      <c r="L58" s="42" t="s">
        <v>30</v>
      </c>
      <c r="M58" s="42" t="s">
        <v>30</v>
      </c>
      <c r="N58" s="42" t="s">
        <v>30</v>
      </c>
      <c r="O58" s="42" t="s">
        <v>30</v>
      </c>
      <c r="P58" s="42" t="s">
        <v>30</v>
      </c>
      <c r="Q58" s="42" t="s">
        <v>30</v>
      </c>
      <c r="R58" s="42" t="s">
        <v>30</v>
      </c>
      <c r="S58" s="42" t="s">
        <v>30</v>
      </c>
      <c r="T58" s="42" t="s">
        <v>30</v>
      </c>
      <c r="U58" s="42" t="s">
        <v>30</v>
      </c>
      <c r="V58" s="42" t="s">
        <v>30</v>
      </c>
      <c r="W58" s="42" t="s">
        <v>30</v>
      </c>
      <c r="X58" s="33">
        <f t="shared" si="3"/>
        <v>0</v>
      </c>
    </row>
    <row r="59" ht="15.75" customHeight="1">
      <c r="A59" s="25">
        <f t="shared" si="1"/>
        <v>15</v>
      </c>
      <c r="B59" s="25">
        <f t="shared" si="4"/>
        <v>9</v>
      </c>
      <c r="C59" s="26" t="s">
        <v>64</v>
      </c>
      <c r="D59" s="27" t="s">
        <v>107</v>
      </c>
      <c r="E59" s="28" t="s">
        <v>70</v>
      </c>
      <c r="F59" s="28" t="s">
        <v>48</v>
      </c>
      <c r="G59" s="29" t="s">
        <v>20</v>
      </c>
      <c r="H59" s="31" t="s">
        <v>101</v>
      </c>
      <c r="I59" s="32" t="s">
        <v>101</v>
      </c>
      <c r="J59" s="42" t="s">
        <v>30</v>
      </c>
      <c r="K59" s="42" t="s">
        <v>30</v>
      </c>
      <c r="L59" s="42" t="s">
        <v>30</v>
      </c>
      <c r="M59" s="42" t="s">
        <v>30</v>
      </c>
      <c r="N59" s="42" t="s">
        <v>30</v>
      </c>
      <c r="O59" s="42" t="s">
        <v>30</v>
      </c>
      <c r="P59" s="42" t="s">
        <v>30</v>
      </c>
      <c r="Q59" s="42" t="s">
        <v>30</v>
      </c>
      <c r="R59" s="42" t="s">
        <v>30</v>
      </c>
      <c r="S59" s="42" t="s">
        <v>30</v>
      </c>
      <c r="T59" s="42" t="s">
        <v>30</v>
      </c>
      <c r="U59" s="42" t="s">
        <v>30</v>
      </c>
      <c r="V59" s="42" t="s">
        <v>30</v>
      </c>
      <c r="W59" s="42" t="s">
        <v>30</v>
      </c>
      <c r="X59" s="33">
        <f t="shared" si="3"/>
        <v>0</v>
      </c>
    </row>
    <row r="60" ht="15.75" customHeight="1">
      <c r="A60" s="25">
        <f t="shared" si="1"/>
        <v>15</v>
      </c>
      <c r="B60" s="25">
        <f t="shared" si="4"/>
        <v>9</v>
      </c>
      <c r="C60" s="26" t="s">
        <v>64</v>
      </c>
      <c r="D60" s="27" t="s">
        <v>226</v>
      </c>
      <c r="E60" s="28" t="s">
        <v>56</v>
      </c>
      <c r="F60" s="28" t="s">
        <v>19</v>
      </c>
      <c r="G60" s="29" t="s">
        <v>227</v>
      </c>
      <c r="H60" s="31" t="s">
        <v>101</v>
      </c>
      <c r="I60" s="32" t="s">
        <v>101</v>
      </c>
      <c r="J60" s="42" t="s">
        <v>30</v>
      </c>
      <c r="K60" s="42" t="s">
        <v>30</v>
      </c>
      <c r="L60" s="42" t="s">
        <v>30</v>
      </c>
      <c r="M60" s="42" t="s">
        <v>30</v>
      </c>
      <c r="N60" s="42" t="s">
        <v>30</v>
      </c>
      <c r="O60" s="42" t="s">
        <v>30</v>
      </c>
      <c r="P60" s="42" t="s">
        <v>30</v>
      </c>
      <c r="Q60" s="42" t="s">
        <v>30</v>
      </c>
      <c r="R60" s="42" t="s">
        <v>30</v>
      </c>
      <c r="S60" s="42" t="s">
        <v>30</v>
      </c>
      <c r="T60" s="42" t="s">
        <v>30</v>
      </c>
      <c r="U60" s="42" t="s">
        <v>30</v>
      </c>
      <c r="V60" s="42" t="s">
        <v>30</v>
      </c>
      <c r="W60" s="42" t="s">
        <v>30</v>
      </c>
      <c r="X60" s="33">
        <f t="shared" si="3"/>
        <v>0</v>
      </c>
    </row>
    <row r="61" ht="15.75" customHeight="1">
      <c r="A61" s="25">
        <f t="shared" si="1"/>
        <v>15</v>
      </c>
      <c r="B61" s="25">
        <f t="shared" si="4"/>
        <v>9</v>
      </c>
      <c r="C61" s="26" t="s">
        <v>64</v>
      </c>
      <c r="D61" s="27" t="s">
        <v>60</v>
      </c>
      <c r="E61" s="28" t="s">
        <v>61</v>
      </c>
      <c r="F61" s="28" t="s">
        <v>56</v>
      </c>
      <c r="G61" s="29" t="s">
        <v>62</v>
      </c>
      <c r="H61" s="31" t="s">
        <v>101</v>
      </c>
      <c r="I61" s="32" t="s">
        <v>101</v>
      </c>
      <c r="J61" s="42" t="s">
        <v>30</v>
      </c>
      <c r="K61" s="42" t="s">
        <v>30</v>
      </c>
      <c r="L61" s="42" t="s">
        <v>30</v>
      </c>
      <c r="M61" s="42" t="s">
        <v>30</v>
      </c>
      <c r="N61" s="42" t="s">
        <v>30</v>
      </c>
      <c r="O61" s="42" t="s">
        <v>30</v>
      </c>
      <c r="P61" s="42" t="s">
        <v>30</v>
      </c>
      <c r="Q61" s="42" t="s">
        <v>30</v>
      </c>
      <c r="R61" s="42" t="s">
        <v>30</v>
      </c>
      <c r="S61" s="42" t="s">
        <v>30</v>
      </c>
      <c r="T61" s="42" t="s">
        <v>30</v>
      </c>
      <c r="U61" s="42" t="s">
        <v>30</v>
      </c>
      <c r="V61" s="42" t="s">
        <v>30</v>
      </c>
      <c r="W61" s="42" t="s">
        <v>30</v>
      </c>
      <c r="X61" s="33">
        <f t="shared" si="3"/>
        <v>0</v>
      </c>
    </row>
    <row r="62" ht="15.75" customHeight="1">
      <c r="A62" s="25">
        <f t="shared" si="1"/>
        <v>15</v>
      </c>
      <c r="B62" s="25">
        <f t="shared" si="4"/>
        <v>9</v>
      </c>
      <c r="C62" s="26" t="s">
        <v>64</v>
      </c>
      <c r="D62" s="27" t="s">
        <v>217</v>
      </c>
      <c r="E62" s="28" t="s">
        <v>61</v>
      </c>
      <c r="F62" s="28" t="s">
        <v>70</v>
      </c>
      <c r="G62" s="29" t="s">
        <v>20</v>
      </c>
      <c r="H62" s="31" t="s">
        <v>101</v>
      </c>
      <c r="I62" s="32" t="s">
        <v>101</v>
      </c>
      <c r="J62" s="42" t="s">
        <v>30</v>
      </c>
      <c r="K62" s="42" t="s">
        <v>30</v>
      </c>
      <c r="L62" s="42" t="s">
        <v>30</v>
      </c>
      <c r="M62" s="42" t="s">
        <v>30</v>
      </c>
      <c r="N62" s="42" t="s">
        <v>30</v>
      </c>
      <c r="O62" s="42" t="s">
        <v>30</v>
      </c>
      <c r="P62" s="42" t="s">
        <v>30</v>
      </c>
      <c r="Q62" s="42" t="s">
        <v>30</v>
      </c>
      <c r="R62" s="42" t="s">
        <v>30</v>
      </c>
      <c r="S62" s="42" t="s">
        <v>30</v>
      </c>
      <c r="T62" s="42" t="s">
        <v>30</v>
      </c>
      <c r="U62" s="42" t="s">
        <v>30</v>
      </c>
      <c r="V62" s="42" t="s">
        <v>30</v>
      </c>
      <c r="W62" s="42" t="s">
        <v>30</v>
      </c>
      <c r="X62" s="33">
        <f t="shared" si="3"/>
        <v>0</v>
      </c>
    </row>
    <row r="63" ht="15.75" customHeight="1">
      <c r="A63" s="25">
        <f t="shared" si="1"/>
        <v>15</v>
      </c>
      <c r="B63" s="25">
        <f t="shared" si="4"/>
        <v>9</v>
      </c>
      <c r="C63" s="26" t="s">
        <v>64</v>
      </c>
      <c r="D63" s="27" t="s">
        <v>83</v>
      </c>
      <c r="E63" s="28" t="s">
        <v>76</v>
      </c>
      <c r="F63" s="28" t="s">
        <v>19</v>
      </c>
      <c r="G63" s="29" t="s">
        <v>49</v>
      </c>
      <c r="H63" s="31" t="s">
        <v>101</v>
      </c>
      <c r="I63" s="32" t="s">
        <v>101</v>
      </c>
      <c r="J63" s="42" t="s">
        <v>30</v>
      </c>
      <c r="K63" s="42" t="s">
        <v>30</v>
      </c>
      <c r="L63" s="42" t="s">
        <v>30</v>
      </c>
      <c r="M63" s="42" t="s">
        <v>30</v>
      </c>
      <c r="N63" s="42" t="s">
        <v>30</v>
      </c>
      <c r="O63" s="42" t="s">
        <v>30</v>
      </c>
      <c r="P63" s="42" t="s">
        <v>30</v>
      </c>
      <c r="Q63" s="42" t="s">
        <v>30</v>
      </c>
      <c r="R63" s="42" t="s">
        <v>30</v>
      </c>
      <c r="S63" s="42" t="s">
        <v>30</v>
      </c>
      <c r="T63" s="42" t="s">
        <v>30</v>
      </c>
      <c r="U63" s="42" t="s">
        <v>30</v>
      </c>
      <c r="V63" s="42" t="s">
        <v>30</v>
      </c>
      <c r="W63" s="42" t="s">
        <v>30</v>
      </c>
      <c r="X63" s="33">
        <f t="shared" si="3"/>
        <v>0</v>
      </c>
    </row>
    <row r="64" ht="15.75" customHeight="1">
      <c r="A64" s="25">
        <f t="shared" si="1"/>
        <v>15</v>
      </c>
      <c r="B64" s="25">
        <f t="shared" si="4"/>
        <v>10</v>
      </c>
      <c r="C64" s="26" t="s">
        <v>84</v>
      </c>
      <c r="D64" s="27" t="s">
        <v>228</v>
      </c>
      <c r="E64" s="28" t="s">
        <v>61</v>
      </c>
      <c r="F64" s="28" t="s">
        <v>19</v>
      </c>
      <c r="G64" s="29" t="s">
        <v>71</v>
      </c>
      <c r="H64" s="31" t="s">
        <v>101</v>
      </c>
      <c r="I64" s="32" t="s">
        <v>101</v>
      </c>
      <c r="J64" s="42" t="s">
        <v>30</v>
      </c>
      <c r="K64" s="42" t="s">
        <v>30</v>
      </c>
      <c r="L64" s="42" t="s">
        <v>30</v>
      </c>
      <c r="M64" s="42" t="s">
        <v>30</v>
      </c>
      <c r="N64" s="42" t="s">
        <v>30</v>
      </c>
      <c r="O64" s="42" t="s">
        <v>30</v>
      </c>
      <c r="P64" s="42" t="s">
        <v>30</v>
      </c>
      <c r="Q64" s="42" t="s">
        <v>30</v>
      </c>
      <c r="R64" s="42" t="s">
        <v>30</v>
      </c>
      <c r="S64" s="42" t="s">
        <v>30</v>
      </c>
      <c r="T64" s="42" t="s">
        <v>30</v>
      </c>
      <c r="U64" s="42" t="s">
        <v>30</v>
      </c>
      <c r="V64" s="42" t="s">
        <v>30</v>
      </c>
      <c r="W64" s="42" t="s">
        <v>30</v>
      </c>
      <c r="X64" s="33">
        <f t="shared" si="3"/>
        <v>0</v>
      </c>
    </row>
    <row r="65" ht="15.75" customHeight="1">
      <c r="A65" s="25">
        <f t="shared" si="1"/>
        <v>15</v>
      </c>
      <c r="B65" s="25">
        <f t="shared" si="4"/>
        <v>10</v>
      </c>
      <c r="C65" s="26" t="s">
        <v>84</v>
      </c>
      <c r="D65" s="27" t="s">
        <v>276</v>
      </c>
      <c r="E65" s="28" t="s">
        <v>19</v>
      </c>
      <c r="F65" s="28"/>
      <c r="G65" s="29" t="s">
        <v>277</v>
      </c>
      <c r="H65" s="31" t="s">
        <v>101</v>
      </c>
      <c r="I65" s="32" t="s">
        <v>101</v>
      </c>
      <c r="J65" s="42" t="s">
        <v>24</v>
      </c>
      <c r="K65" s="42" t="s">
        <v>24</v>
      </c>
      <c r="L65" s="42"/>
      <c r="M65" s="42" t="s">
        <v>24</v>
      </c>
      <c r="N65" s="42" t="s">
        <v>24</v>
      </c>
      <c r="O65" s="42"/>
      <c r="P65" s="42" t="s">
        <v>33</v>
      </c>
      <c r="Q65" s="42" t="s">
        <v>30</v>
      </c>
      <c r="R65" s="42" t="s">
        <v>30</v>
      </c>
      <c r="S65" s="42" t="s">
        <v>30</v>
      </c>
      <c r="T65" s="42" t="s">
        <v>30</v>
      </c>
      <c r="U65" s="42" t="s">
        <v>30</v>
      </c>
      <c r="V65" s="42" t="s">
        <v>30</v>
      </c>
      <c r="W65" s="42" t="s">
        <v>30</v>
      </c>
      <c r="X65" s="33">
        <f t="shared" si="3"/>
        <v>0</v>
      </c>
    </row>
    <row r="66" ht="15.75" customHeight="1">
      <c r="A66" s="25">
        <f t="shared" si="1"/>
        <v>15</v>
      </c>
      <c r="B66" s="25">
        <f t="shared" si="4"/>
        <v>11</v>
      </c>
      <c r="C66" s="26" t="s">
        <v>79</v>
      </c>
      <c r="D66" s="27" t="s">
        <v>128</v>
      </c>
      <c r="E66" s="28" t="s">
        <v>41</v>
      </c>
      <c r="F66" s="28" t="s">
        <v>19</v>
      </c>
      <c r="G66" s="29" t="s">
        <v>71</v>
      </c>
      <c r="H66" s="31" t="s">
        <v>101</v>
      </c>
      <c r="I66" s="32" t="s">
        <v>101</v>
      </c>
      <c r="J66" s="42" t="s">
        <v>30</v>
      </c>
      <c r="K66" s="42" t="s">
        <v>30</v>
      </c>
      <c r="L66" s="42" t="s">
        <v>30</v>
      </c>
      <c r="M66" s="42" t="s">
        <v>30</v>
      </c>
      <c r="N66" s="42" t="s">
        <v>30</v>
      </c>
      <c r="O66" s="42" t="s">
        <v>30</v>
      </c>
      <c r="P66" s="42" t="s">
        <v>30</v>
      </c>
      <c r="Q66" s="42" t="s">
        <v>30</v>
      </c>
      <c r="R66" s="42" t="s">
        <v>30</v>
      </c>
      <c r="S66" s="42" t="s">
        <v>30</v>
      </c>
      <c r="T66" s="42" t="s">
        <v>30</v>
      </c>
      <c r="U66" s="42" t="s">
        <v>30</v>
      </c>
      <c r="V66" s="42" t="s">
        <v>30</v>
      </c>
      <c r="W66" s="42" t="s">
        <v>30</v>
      </c>
      <c r="X66" s="33">
        <f t="shared" si="3"/>
        <v>0</v>
      </c>
    </row>
    <row r="67" ht="15.75" customHeight="1">
      <c r="A67" s="25">
        <f t="shared" si="1"/>
        <v>15</v>
      </c>
      <c r="B67" s="25">
        <f t="shared" si="4"/>
        <v>11</v>
      </c>
      <c r="C67" s="26" t="s">
        <v>79</v>
      </c>
      <c r="D67" s="27" t="s">
        <v>111</v>
      </c>
      <c r="E67" s="28" t="s">
        <v>19</v>
      </c>
      <c r="F67" s="28"/>
      <c r="G67" s="29" t="s">
        <v>112</v>
      </c>
      <c r="H67" s="31" t="s">
        <v>101</v>
      </c>
      <c r="I67" s="32" t="s">
        <v>101</v>
      </c>
      <c r="J67" s="42" t="s">
        <v>30</v>
      </c>
      <c r="K67" s="42" t="s">
        <v>30</v>
      </c>
      <c r="L67" s="42" t="s">
        <v>30</v>
      </c>
      <c r="M67" s="42" t="s">
        <v>30</v>
      </c>
      <c r="N67" s="42" t="s">
        <v>30</v>
      </c>
      <c r="O67" s="42" t="s">
        <v>30</v>
      </c>
      <c r="P67" s="42" t="s">
        <v>30</v>
      </c>
      <c r="Q67" s="42" t="s">
        <v>30</v>
      </c>
      <c r="R67" s="42" t="s">
        <v>30</v>
      </c>
      <c r="S67" s="42" t="s">
        <v>30</v>
      </c>
      <c r="T67" s="42" t="s">
        <v>30</v>
      </c>
      <c r="U67" s="42" t="s">
        <v>30</v>
      </c>
      <c r="V67" s="42" t="s">
        <v>30</v>
      </c>
      <c r="W67" s="42" t="s">
        <v>30</v>
      </c>
      <c r="X67" s="33">
        <f t="shared" si="3"/>
        <v>0</v>
      </c>
      <c r="Y67" s="47"/>
      <c r="Z67" s="47"/>
      <c r="AA67" s="48"/>
      <c r="AB67" s="1"/>
      <c r="AC67" s="1"/>
    </row>
    <row r="68" ht="15.75" customHeight="1">
      <c r="A68" s="25">
        <f t="shared" si="1"/>
        <v>15</v>
      </c>
      <c r="B68" s="25">
        <f t="shared" si="4"/>
        <v>11</v>
      </c>
      <c r="C68" s="26" t="s">
        <v>79</v>
      </c>
      <c r="D68" s="27" t="s">
        <v>221</v>
      </c>
      <c r="E68" s="28" t="s">
        <v>19</v>
      </c>
      <c r="F68" s="28"/>
      <c r="G68" s="29" t="s">
        <v>62</v>
      </c>
      <c r="H68" s="31" t="s">
        <v>101</v>
      </c>
      <c r="I68" s="32" t="s">
        <v>101</v>
      </c>
      <c r="J68" s="42" t="s">
        <v>30</v>
      </c>
      <c r="K68" s="42" t="s">
        <v>30</v>
      </c>
      <c r="L68" s="42" t="s">
        <v>30</v>
      </c>
      <c r="M68" s="42" t="s">
        <v>30</v>
      </c>
      <c r="N68" s="42" t="s">
        <v>30</v>
      </c>
      <c r="O68" s="42" t="s">
        <v>30</v>
      </c>
      <c r="P68" s="42" t="s">
        <v>30</v>
      </c>
      <c r="Q68" s="42" t="s">
        <v>30</v>
      </c>
      <c r="R68" s="42" t="s">
        <v>30</v>
      </c>
      <c r="S68" s="42" t="s">
        <v>30</v>
      </c>
      <c r="T68" s="42" t="s">
        <v>30</v>
      </c>
      <c r="U68" s="42" t="s">
        <v>30</v>
      </c>
      <c r="V68" s="42" t="s">
        <v>30</v>
      </c>
      <c r="W68" s="42" t="s">
        <v>30</v>
      </c>
      <c r="X68" s="33">
        <f t="shared" si="3"/>
        <v>0</v>
      </c>
      <c r="Y68" s="47"/>
      <c r="Z68" s="47"/>
      <c r="AA68" s="48"/>
      <c r="AB68" s="1"/>
      <c r="AC68" s="1"/>
    </row>
    <row r="69" ht="15.75" customHeight="1">
      <c r="A69" s="25">
        <f t="shared" si="1"/>
        <v>15</v>
      </c>
      <c r="B69" s="25">
        <f t="shared" si="4"/>
        <v>15</v>
      </c>
      <c r="C69" s="26"/>
      <c r="D69" s="27"/>
      <c r="E69" s="28"/>
      <c r="F69" s="28"/>
      <c r="G69" s="29"/>
      <c r="H69" s="31"/>
      <c r="I69" s="3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33">
        <f t="shared" si="3"/>
        <v>0</v>
      </c>
      <c r="Y69" s="47"/>
      <c r="Z69" s="47"/>
      <c r="AA69" s="48"/>
      <c r="AB69" s="1"/>
      <c r="AC69" s="1"/>
    </row>
    <row r="70" ht="15.75" customHeight="1">
      <c r="A70" s="25">
        <f t="shared" si="1"/>
        <v>15</v>
      </c>
      <c r="B70" s="25">
        <f t="shared" si="4"/>
        <v>15</v>
      </c>
      <c r="C70" s="154"/>
      <c r="D70" s="155"/>
      <c r="E70" s="28"/>
      <c r="F70" s="28"/>
      <c r="G70" s="29"/>
      <c r="H70" s="31"/>
      <c r="I70" s="3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33">
        <f t="shared" si="3"/>
        <v>0</v>
      </c>
      <c r="Y70" s="47"/>
      <c r="Z70" s="47"/>
      <c r="AA70" s="48"/>
      <c r="AB70" s="1"/>
      <c r="AC70" s="1"/>
    </row>
    <row r="71" ht="15.75" customHeight="1">
      <c r="A71" s="25">
        <f t="shared" si="1"/>
        <v>15</v>
      </c>
      <c r="B71" s="25">
        <f t="shared" si="4"/>
        <v>15</v>
      </c>
      <c r="C71" s="26"/>
      <c r="D71" s="27"/>
      <c r="E71" s="28"/>
      <c r="F71" s="28"/>
      <c r="G71" s="29"/>
      <c r="H71" s="31"/>
      <c r="I71" s="3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33">
        <f t="shared" si="3"/>
        <v>0</v>
      </c>
      <c r="Y71" s="47"/>
      <c r="Z71" s="47"/>
      <c r="AA71" s="48"/>
      <c r="AB71" s="1"/>
      <c r="AC71" s="1"/>
    </row>
    <row r="72" ht="15.75" customHeight="1">
      <c r="A72" s="25">
        <f t="shared" si="1"/>
        <v>15</v>
      </c>
      <c r="B72" s="25">
        <f t="shared" si="4"/>
        <v>15</v>
      </c>
      <c r="C72" s="26"/>
      <c r="D72" s="27"/>
      <c r="E72" s="28"/>
      <c r="F72" s="28"/>
      <c r="G72" s="29"/>
      <c r="H72" s="31"/>
      <c r="I72" s="3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33">
        <f t="shared" si="3"/>
        <v>0</v>
      </c>
      <c r="Y72" s="47"/>
      <c r="Z72" s="47"/>
      <c r="AA72" s="48"/>
      <c r="AB72" s="1"/>
      <c r="AC72" s="1"/>
    </row>
    <row r="73" ht="15.75" customHeight="1">
      <c r="A73" s="25">
        <f t="shared" si="1"/>
        <v>15</v>
      </c>
      <c r="B73" s="25">
        <f t="shared" si="4"/>
        <v>15</v>
      </c>
      <c r="C73" s="26"/>
      <c r="D73" s="27"/>
      <c r="E73" s="28"/>
      <c r="F73" s="28"/>
      <c r="G73" s="29"/>
      <c r="H73" s="31"/>
      <c r="I73" s="3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33">
        <f t="shared" si="3"/>
        <v>0</v>
      </c>
      <c r="Y73" s="47"/>
      <c r="Z73" s="47"/>
      <c r="AA73" s="48"/>
      <c r="AB73" s="1"/>
      <c r="AC73" s="1"/>
    </row>
    <row r="74" ht="15.75" customHeight="1">
      <c r="A74" s="25">
        <f t="shared" si="1"/>
        <v>15</v>
      </c>
      <c r="B74" s="25">
        <f t="shared" si="4"/>
        <v>15</v>
      </c>
      <c r="C74" s="26"/>
      <c r="D74" s="27"/>
      <c r="E74" s="28"/>
      <c r="F74" s="28"/>
      <c r="G74" s="29"/>
      <c r="H74" s="31"/>
      <c r="I74" s="3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33">
        <f t="shared" si="3"/>
        <v>0</v>
      </c>
      <c r="Y74" s="47"/>
      <c r="Z74" s="47"/>
      <c r="AA74" s="48"/>
      <c r="AB74" s="1"/>
      <c r="AC74" s="1"/>
    </row>
    <row r="75" ht="15.75" customHeight="1">
      <c r="A75" s="25">
        <f t="shared" si="1"/>
        <v>15</v>
      </c>
      <c r="B75" s="25">
        <f t="shared" si="4"/>
        <v>15</v>
      </c>
      <c r="C75" s="26"/>
      <c r="D75" s="27"/>
      <c r="E75" s="28"/>
      <c r="F75" s="28"/>
      <c r="G75" s="29"/>
      <c r="H75" s="31"/>
      <c r="I75" s="3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33">
        <f t="shared" si="3"/>
        <v>0</v>
      </c>
      <c r="Y75" s="47"/>
      <c r="Z75" s="47"/>
      <c r="AA75" s="48"/>
      <c r="AB75" s="1"/>
      <c r="AC75" s="1"/>
    </row>
    <row r="76" ht="15.75" customHeight="1">
      <c r="A76" s="25">
        <f t="shared" si="1"/>
        <v>15</v>
      </c>
      <c r="B76" s="25">
        <f t="shared" si="4"/>
        <v>15</v>
      </c>
      <c r="C76" s="26"/>
      <c r="D76" s="27"/>
      <c r="E76" s="28"/>
      <c r="F76" s="28"/>
      <c r="G76" s="29"/>
      <c r="H76" s="31"/>
      <c r="I76" s="3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33">
        <f t="shared" si="3"/>
        <v>0</v>
      </c>
      <c r="Y76" s="47"/>
      <c r="Z76" s="47"/>
      <c r="AA76" s="48"/>
      <c r="AB76" s="1"/>
      <c r="AC76" s="1"/>
    </row>
    <row r="77" ht="15.75" customHeight="1">
      <c r="A77" s="25">
        <f t="shared" si="1"/>
        <v>15</v>
      </c>
      <c r="B77" s="25">
        <f t="shared" si="4"/>
        <v>15</v>
      </c>
      <c r="C77" s="26"/>
      <c r="D77" s="27"/>
      <c r="E77" s="28"/>
      <c r="F77" s="28"/>
      <c r="G77" s="29"/>
      <c r="H77" s="31"/>
      <c r="I77" s="3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33">
        <f t="shared" si="3"/>
        <v>0</v>
      </c>
      <c r="Y77" s="47"/>
      <c r="Z77" s="47"/>
      <c r="AA77" s="48"/>
      <c r="AB77" s="1"/>
      <c r="AC77" s="1"/>
    </row>
    <row r="78" ht="15.75" customHeight="1">
      <c r="A78" s="25">
        <f t="shared" si="1"/>
        <v>15</v>
      </c>
      <c r="B78" s="25">
        <f t="shared" si="4"/>
        <v>15</v>
      </c>
      <c r="C78" s="26"/>
      <c r="D78" s="27"/>
      <c r="E78" s="28"/>
      <c r="F78" s="28"/>
      <c r="G78" s="29"/>
      <c r="H78" s="31"/>
      <c r="I78" s="3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33">
        <f t="shared" si="3"/>
        <v>0</v>
      </c>
      <c r="Y78" s="47"/>
      <c r="Z78" s="47"/>
      <c r="AA78" s="48"/>
      <c r="AB78" s="1"/>
      <c r="AC78" s="1"/>
    </row>
    <row r="79" ht="15.75" customHeight="1">
      <c r="A79" s="25">
        <f t="shared" si="1"/>
        <v>15</v>
      </c>
      <c r="B79" s="25">
        <f t="shared" si="4"/>
        <v>15</v>
      </c>
      <c r="C79" s="26"/>
      <c r="D79" s="27"/>
      <c r="E79" s="28"/>
      <c r="F79" s="28"/>
      <c r="G79" s="29"/>
      <c r="H79" s="31"/>
      <c r="I79" s="32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33">
        <f t="shared" si="3"/>
        <v>0</v>
      </c>
      <c r="Y79" s="47"/>
      <c r="Z79" s="47"/>
      <c r="AA79" s="48"/>
      <c r="AB79" s="1"/>
      <c r="AC79" s="1"/>
    </row>
    <row r="80" ht="15.75" customHeight="1">
      <c r="A80" s="25">
        <f t="shared" si="1"/>
        <v>15</v>
      </c>
      <c r="B80" s="25">
        <f t="shared" si="4"/>
        <v>15</v>
      </c>
      <c r="C80" s="26"/>
      <c r="D80" s="27"/>
      <c r="E80" s="28"/>
      <c r="F80" s="28"/>
      <c r="G80" s="29"/>
      <c r="H80" s="31"/>
      <c r="I80" s="32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33">
        <f t="shared" si="3"/>
        <v>0</v>
      </c>
      <c r="Y80" s="47"/>
      <c r="Z80" s="47"/>
      <c r="AA80" s="48"/>
      <c r="AB80" s="1"/>
      <c r="AC80" s="1"/>
    </row>
    <row r="81" ht="15.75" customHeight="1">
      <c r="A81" s="25">
        <f t="shared" si="1"/>
        <v>15</v>
      </c>
      <c r="B81" s="25">
        <f t="shared" si="4"/>
        <v>15</v>
      </c>
      <c r="C81" s="26"/>
      <c r="D81" s="27"/>
      <c r="E81" s="28"/>
      <c r="F81" s="28"/>
      <c r="G81" s="29"/>
      <c r="H81" s="31"/>
      <c r="I81" s="32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33">
        <f t="shared" si="3"/>
        <v>0</v>
      </c>
      <c r="Y81" s="47"/>
      <c r="Z81" s="47"/>
      <c r="AA81" s="48"/>
      <c r="AB81" s="1"/>
      <c r="AC81" s="1"/>
    </row>
    <row r="82" ht="15.75" customHeight="1">
      <c r="A82" s="25">
        <f t="shared" si="1"/>
        <v>15</v>
      </c>
      <c r="B82" s="25">
        <f t="shared" si="4"/>
        <v>15</v>
      </c>
      <c r="C82" s="26"/>
      <c r="D82" s="27"/>
      <c r="E82" s="28"/>
      <c r="F82" s="28"/>
      <c r="G82" s="29"/>
      <c r="H82" s="31"/>
      <c r="I82" s="32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33">
        <f t="shared" si="3"/>
        <v>0</v>
      </c>
      <c r="Y82" s="47"/>
      <c r="Z82" s="47"/>
      <c r="AA82" s="48"/>
      <c r="AB82" s="1"/>
      <c r="AC82" s="1"/>
    </row>
    <row r="83" ht="15.75" customHeight="1">
      <c r="A83" s="25">
        <f t="shared" si="1"/>
        <v>15</v>
      </c>
      <c r="B83" s="25">
        <f t="shared" si="4"/>
        <v>15</v>
      </c>
      <c r="C83" s="26"/>
      <c r="D83" s="27"/>
      <c r="E83" s="28"/>
      <c r="F83" s="28"/>
      <c r="G83" s="29"/>
      <c r="H83" s="31"/>
      <c r="I83" s="32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33">
        <f t="shared" si="3"/>
        <v>0</v>
      </c>
      <c r="Y83" s="47"/>
      <c r="Z83" s="47"/>
      <c r="AA83" s="48"/>
      <c r="AB83" s="1"/>
      <c r="AC83" s="1"/>
    </row>
    <row r="84" ht="15.75" customHeight="1">
      <c r="A84" s="25">
        <f t="shared" si="1"/>
        <v>15</v>
      </c>
      <c r="B84" s="25">
        <f t="shared" si="4"/>
        <v>15</v>
      </c>
      <c r="C84" s="26"/>
      <c r="D84" s="27"/>
      <c r="E84" s="28"/>
      <c r="F84" s="28"/>
      <c r="G84" s="29"/>
      <c r="H84" s="31"/>
      <c r="I84" s="32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33">
        <f t="shared" si="3"/>
        <v>0</v>
      </c>
      <c r="Y84" s="47"/>
      <c r="Z84" s="47"/>
      <c r="AA84" s="48"/>
      <c r="AB84" s="1"/>
      <c r="AC84" s="1"/>
    </row>
    <row r="85" ht="15.75" customHeight="1">
      <c r="A85" s="25">
        <f t="shared" si="1"/>
        <v>15</v>
      </c>
      <c r="B85" s="25">
        <f t="shared" si="4"/>
        <v>15</v>
      </c>
      <c r="C85" s="26"/>
      <c r="D85" s="27"/>
      <c r="E85" s="28"/>
      <c r="F85" s="28"/>
      <c r="G85" s="29"/>
      <c r="H85" s="31"/>
      <c r="I85" s="32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33">
        <f t="shared" si="3"/>
        <v>0</v>
      </c>
      <c r="Y85" s="47"/>
      <c r="Z85" s="47"/>
      <c r="AA85" s="48"/>
      <c r="AB85" s="1"/>
      <c r="AC85" s="1"/>
    </row>
    <row r="86" ht="15.75" customHeight="1">
      <c r="A86" s="25">
        <f t="shared" si="1"/>
        <v>15</v>
      </c>
      <c r="B86" s="25">
        <f t="shared" si="4"/>
        <v>15</v>
      </c>
      <c r="C86" s="26"/>
      <c r="D86" s="27"/>
      <c r="E86" s="28"/>
      <c r="F86" s="28"/>
      <c r="G86" s="29"/>
      <c r="H86" s="31"/>
      <c r="I86" s="32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33">
        <f t="shared" si="3"/>
        <v>0</v>
      </c>
      <c r="Y86" s="47"/>
      <c r="Z86" s="47"/>
      <c r="AA86" s="48"/>
      <c r="AB86" s="1"/>
      <c r="AC86" s="1"/>
    </row>
    <row r="87" ht="15.75" customHeight="1">
      <c r="A87" s="25">
        <f t="shared" si="1"/>
        <v>15</v>
      </c>
      <c r="B87" s="25">
        <f t="shared" si="4"/>
        <v>15</v>
      </c>
      <c r="C87" s="26"/>
      <c r="D87" s="27"/>
      <c r="E87" s="28"/>
      <c r="F87" s="28"/>
      <c r="G87" s="29"/>
      <c r="H87" s="31"/>
      <c r="I87" s="32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33">
        <f t="shared" si="3"/>
        <v>0</v>
      </c>
      <c r="Y87" s="47"/>
      <c r="Z87" s="47"/>
      <c r="AA87" s="48"/>
      <c r="AB87" s="1"/>
      <c r="AC87" s="1"/>
    </row>
    <row r="88" ht="15.75" customHeight="1">
      <c r="A88" s="25">
        <f t="shared" si="1"/>
        <v>15</v>
      </c>
      <c r="B88" s="25">
        <f t="shared" si="4"/>
        <v>15</v>
      </c>
      <c r="C88" s="26"/>
      <c r="D88" s="27"/>
      <c r="E88" s="28"/>
      <c r="F88" s="28"/>
      <c r="G88" s="29"/>
      <c r="H88" s="31"/>
      <c r="I88" s="32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33">
        <f t="shared" si="3"/>
        <v>0</v>
      </c>
      <c r="Y88" s="47"/>
      <c r="Z88" s="47"/>
      <c r="AA88" s="48"/>
      <c r="AB88" s="1"/>
      <c r="AC88" s="1"/>
    </row>
    <row r="89" ht="15.75" customHeight="1">
      <c r="A89" s="25">
        <f t="shared" si="1"/>
        <v>15</v>
      </c>
      <c r="B89" s="25">
        <f t="shared" si="4"/>
        <v>15</v>
      </c>
      <c r="C89" s="26"/>
      <c r="D89" s="27"/>
      <c r="E89" s="28"/>
      <c r="F89" s="28"/>
      <c r="G89" s="29"/>
      <c r="H89" s="31"/>
      <c r="I89" s="32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33">
        <f t="shared" si="3"/>
        <v>0</v>
      </c>
      <c r="Y89" s="47"/>
      <c r="Z89" s="47"/>
      <c r="AA89" s="48"/>
      <c r="AB89" s="1"/>
      <c r="AC89" s="1"/>
    </row>
    <row r="90" ht="15.75" customHeight="1">
      <c r="A90" s="25">
        <f t="shared" si="1"/>
        <v>15</v>
      </c>
      <c r="B90" s="25">
        <f t="shared" si="4"/>
        <v>15</v>
      </c>
      <c r="C90" s="26"/>
      <c r="D90" s="27"/>
      <c r="E90" s="28"/>
      <c r="F90" s="28"/>
      <c r="G90" s="29"/>
      <c r="H90" s="31"/>
      <c r="I90" s="32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33">
        <f t="shared" si="3"/>
        <v>0</v>
      </c>
      <c r="Y90" s="47"/>
      <c r="Z90" s="47"/>
      <c r="AA90" s="48"/>
      <c r="AB90" s="1"/>
      <c r="AC90" s="1"/>
    </row>
    <row r="91" ht="15.75" customHeight="1">
      <c r="A91" s="25">
        <f t="shared" si="1"/>
        <v>15</v>
      </c>
      <c r="B91" s="25">
        <f t="shared" si="4"/>
        <v>15</v>
      </c>
      <c r="C91" s="26"/>
      <c r="D91" s="27"/>
      <c r="E91" s="28"/>
      <c r="F91" s="28"/>
      <c r="G91" s="29"/>
      <c r="H91" s="31"/>
      <c r="I91" s="32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33">
        <f t="shared" si="3"/>
        <v>0</v>
      </c>
      <c r="Y91" s="47"/>
      <c r="Z91" s="47"/>
      <c r="AA91" s="48"/>
      <c r="AB91" s="1"/>
      <c r="AC91" s="1"/>
    </row>
    <row r="92" ht="15.75" customHeight="1">
      <c r="A92" s="25">
        <f t="shared" si="1"/>
        <v>15</v>
      </c>
      <c r="B92" s="25">
        <f t="shared" si="4"/>
        <v>15</v>
      </c>
      <c r="C92" s="26"/>
      <c r="D92" s="27"/>
      <c r="E92" s="28"/>
      <c r="F92" s="28"/>
      <c r="G92" s="29"/>
      <c r="H92" s="31"/>
      <c r="I92" s="32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33">
        <f t="shared" si="3"/>
        <v>0</v>
      </c>
      <c r="Y92" s="47"/>
      <c r="Z92" s="47"/>
      <c r="AA92" s="48"/>
      <c r="AB92" s="1"/>
      <c r="AC92" s="1"/>
    </row>
    <row r="93" ht="15.75" customHeight="1">
      <c r="A93" s="25">
        <f t="shared" si="1"/>
        <v>15</v>
      </c>
      <c r="B93" s="25">
        <f t="shared" si="4"/>
        <v>15</v>
      </c>
      <c r="C93" s="26"/>
      <c r="D93" s="27"/>
      <c r="E93" s="28"/>
      <c r="F93" s="28"/>
      <c r="G93" s="29"/>
      <c r="H93" s="31"/>
      <c r="I93" s="32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33">
        <f t="shared" si="3"/>
        <v>0</v>
      </c>
      <c r="Y93" s="47"/>
      <c r="Z93" s="47"/>
      <c r="AA93" s="48"/>
      <c r="AB93" s="1"/>
      <c r="AC93" s="1"/>
    </row>
    <row r="94" ht="15.75" customHeight="1">
      <c r="A94" s="25">
        <f t="shared" si="1"/>
        <v>15</v>
      </c>
      <c r="B94" s="25">
        <f t="shared" si="4"/>
        <v>15</v>
      </c>
      <c r="C94" s="26"/>
      <c r="D94" s="27"/>
      <c r="E94" s="28"/>
      <c r="F94" s="28"/>
      <c r="G94" s="29"/>
      <c r="H94" s="31"/>
      <c r="I94" s="32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33">
        <f t="shared" si="3"/>
        <v>0</v>
      </c>
      <c r="Y94" s="47"/>
      <c r="Z94" s="47"/>
      <c r="AA94" s="48"/>
      <c r="AB94" s="1"/>
      <c r="AC94" s="1"/>
    </row>
    <row r="95" ht="15.75" customHeight="1">
      <c r="A95" s="25">
        <f t="shared" si="1"/>
        <v>15</v>
      </c>
      <c r="B95" s="25">
        <f t="shared" si="4"/>
        <v>15</v>
      </c>
      <c r="C95" s="26"/>
      <c r="D95" s="27"/>
      <c r="E95" s="28"/>
      <c r="F95" s="28"/>
      <c r="G95" s="29"/>
      <c r="H95" s="31"/>
      <c r="I95" s="32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33">
        <f t="shared" si="3"/>
        <v>0</v>
      </c>
      <c r="Y95" s="47"/>
      <c r="Z95" s="47"/>
      <c r="AA95" s="48"/>
      <c r="AB95" s="1"/>
      <c r="AC95" s="1"/>
    </row>
    <row r="96" ht="15.75" customHeight="1">
      <c r="A96" s="25">
        <f t="shared" si="1"/>
        <v>15</v>
      </c>
      <c r="B96" s="25">
        <f t="shared" si="4"/>
        <v>15</v>
      </c>
      <c r="C96" s="26"/>
      <c r="D96" s="27"/>
      <c r="E96" s="28"/>
      <c r="F96" s="28"/>
      <c r="G96" s="29"/>
      <c r="H96" s="31"/>
      <c r="I96" s="32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33">
        <f t="shared" si="3"/>
        <v>0</v>
      </c>
      <c r="Y96" s="47"/>
      <c r="Z96" s="47"/>
      <c r="AA96" s="48"/>
      <c r="AB96" s="1"/>
      <c r="AC96" s="1"/>
    </row>
    <row r="97" ht="15.75" customHeight="1">
      <c r="A97" s="25">
        <f t="shared" si="1"/>
        <v>15</v>
      </c>
      <c r="B97" s="25">
        <f t="shared" si="4"/>
        <v>15</v>
      </c>
      <c r="C97" s="26"/>
      <c r="D97" s="27"/>
      <c r="E97" s="28"/>
      <c r="F97" s="28"/>
      <c r="G97" s="29"/>
      <c r="H97" s="31"/>
      <c r="I97" s="32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33">
        <f t="shared" si="3"/>
        <v>0</v>
      </c>
      <c r="Y97" s="47"/>
      <c r="Z97" s="47"/>
      <c r="AA97" s="48"/>
      <c r="AB97" s="1"/>
      <c r="AC97" s="1"/>
    </row>
    <row r="98" ht="15.75" customHeight="1">
      <c r="A98" s="25">
        <f t="shared" si="1"/>
        <v>15</v>
      </c>
      <c r="B98" s="25">
        <f t="shared" si="4"/>
        <v>15</v>
      </c>
      <c r="C98" s="26"/>
      <c r="D98" s="27"/>
      <c r="E98" s="28"/>
      <c r="F98" s="28"/>
      <c r="G98" s="29"/>
      <c r="H98" s="31"/>
      <c r="I98" s="32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33">
        <f t="shared" si="3"/>
        <v>0</v>
      </c>
      <c r="Y98" s="47"/>
      <c r="Z98" s="47"/>
      <c r="AA98" s="48"/>
      <c r="AB98" s="1"/>
      <c r="AC98" s="1"/>
    </row>
    <row r="99" ht="15.75" customHeight="1">
      <c r="A99" s="69"/>
      <c r="B99" s="69"/>
      <c r="C99" s="2"/>
      <c r="D99" s="47"/>
      <c r="E99" s="70"/>
      <c r="F99" s="70"/>
      <c r="G99" s="70"/>
      <c r="H99" s="44"/>
      <c r="I99" s="71" t="s">
        <v>229</v>
      </c>
      <c r="J99" s="72">
        <f t="shared" ref="J99:K99" si="5">SUM(COUNTIF(J3:J98,"A") + COUNTIF(J3:J98,"T") + (COUNTIF(J3:J98,"O")/2))</f>
        <v>26</v>
      </c>
      <c r="K99" s="72">
        <f t="shared" si="5"/>
        <v>22</v>
      </c>
      <c r="L99" s="72">
        <f>(COUNTIF(L3:L98,"O"))</f>
        <v>18</v>
      </c>
      <c r="M99" s="72">
        <f t="shared" ref="M99:N99" si="6">SUM(COUNTIF(M3:M98,"A") + COUNTIF(M3:M98,"T") + (COUNTIF(M3:M98,"O")/2))</f>
        <v>30</v>
      </c>
      <c r="N99" s="72">
        <f t="shared" si="6"/>
        <v>32</v>
      </c>
      <c r="O99" s="72">
        <f>(COUNTIF(O3:O98,"O"))</f>
        <v>0</v>
      </c>
      <c r="P99" s="72">
        <f t="shared" ref="P99:Q99" si="7">SUM(COUNTIF(P3:P98,"A") + COUNTIF(P3:P98,"T") + (COUNTIF(P3:P98,"O")/2))</f>
        <v>25</v>
      </c>
      <c r="Q99" s="72">
        <f t="shared" si="7"/>
        <v>27</v>
      </c>
      <c r="R99" s="72">
        <f>(COUNTIF(R3:R98,"O"))</f>
        <v>14</v>
      </c>
      <c r="S99" s="72">
        <f t="shared" ref="S99:W99" si="8">SUM(COUNTIF(S3:S98,"A") + COUNTIF(S3:S98,"T") + (COUNTIF(S3:S98,"O")/2))</f>
        <v>24</v>
      </c>
      <c r="T99" s="72">
        <f t="shared" si="8"/>
        <v>26</v>
      </c>
      <c r="U99" s="72">
        <f t="shared" si="8"/>
        <v>0</v>
      </c>
      <c r="V99" s="72">
        <f t="shared" si="8"/>
        <v>23</v>
      </c>
      <c r="W99" s="72">
        <f t="shared" si="8"/>
        <v>31</v>
      </c>
      <c r="X99" s="73">
        <f t="shared" ref="X99:X102" si="10">AVERAGE(J99,K99,M99,N99,P99,Q99,S99,T99,V99,W99)</f>
        <v>26.6</v>
      </c>
      <c r="Y99" s="74" t="s">
        <v>230</v>
      </c>
      <c r="Z99" s="42"/>
      <c r="AA99" s="47"/>
      <c r="AB99" s="47"/>
      <c r="AC99" s="47"/>
    </row>
    <row r="100" ht="15.75" customHeight="1">
      <c r="A100" s="69"/>
      <c r="B100" s="69"/>
      <c r="C100" s="2"/>
      <c r="D100" s="47"/>
      <c r="E100" s="70"/>
      <c r="F100" s="70"/>
      <c r="G100" s="70"/>
      <c r="H100" s="44"/>
      <c r="I100" s="75" t="s">
        <v>231</v>
      </c>
      <c r="J100" s="76">
        <f t="shared" ref="J100:W100" si="9">SUM(COUNTIF(J3:J98,"J"))</f>
        <v>6</v>
      </c>
      <c r="K100" s="76">
        <f t="shared" si="9"/>
        <v>13</v>
      </c>
      <c r="L100" s="76">
        <f t="shared" si="9"/>
        <v>0</v>
      </c>
      <c r="M100" s="76">
        <f t="shared" si="9"/>
        <v>6</v>
      </c>
      <c r="N100" s="76">
        <f t="shared" si="9"/>
        <v>6</v>
      </c>
      <c r="O100" s="76">
        <f t="shared" si="9"/>
        <v>0</v>
      </c>
      <c r="P100" s="76">
        <f t="shared" si="9"/>
        <v>11</v>
      </c>
      <c r="Q100" s="76">
        <f t="shared" si="9"/>
        <v>10</v>
      </c>
      <c r="R100" s="76">
        <f t="shared" si="9"/>
        <v>0</v>
      </c>
      <c r="S100" s="76">
        <f t="shared" si="9"/>
        <v>12</v>
      </c>
      <c r="T100" s="76">
        <f t="shared" si="9"/>
        <v>10</v>
      </c>
      <c r="U100" s="76">
        <f t="shared" si="9"/>
        <v>0</v>
      </c>
      <c r="V100" s="76">
        <f t="shared" si="9"/>
        <v>13</v>
      </c>
      <c r="W100" s="76">
        <f t="shared" si="9"/>
        <v>11</v>
      </c>
      <c r="X100" s="77">
        <f t="shared" si="10"/>
        <v>9.8</v>
      </c>
      <c r="Y100" s="74" t="s">
        <v>232</v>
      </c>
      <c r="Z100" s="42"/>
      <c r="AA100" s="47"/>
      <c r="AB100" s="47"/>
      <c r="AC100" s="47"/>
    </row>
    <row r="101" ht="15.75" customHeight="1">
      <c r="A101" s="69"/>
      <c r="B101" s="69"/>
      <c r="C101" s="2"/>
      <c r="D101" s="47"/>
      <c r="E101" s="70"/>
      <c r="F101" s="70"/>
      <c r="G101" s="70"/>
      <c r="H101" s="44"/>
      <c r="I101" s="78" t="s">
        <v>233</v>
      </c>
      <c r="J101" s="79">
        <f t="shared" ref="J101:W101" si="11">SUM(COUNTIF(J3:J98,"F"))</f>
        <v>2</v>
      </c>
      <c r="K101" s="79">
        <f t="shared" si="11"/>
        <v>0</v>
      </c>
      <c r="L101" s="79">
        <f t="shared" si="11"/>
        <v>0</v>
      </c>
      <c r="M101" s="79">
        <f t="shared" si="11"/>
        <v>1</v>
      </c>
      <c r="N101" s="79">
        <f t="shared" si="11"/>
        <v>0</v>
      </c>
      <c r="O101" s="79">
        <f t="shared" si="11"/>
        <v>0</v>
      </c>
      <c r="P101" s="79">
        <f t="shared" si="11"/>
        <v>2</v>
      </c>
      <c r="Q101" s="79">
        <f t="shared" si="11"/>
        <v>0</v>
      </c>
      <c r="R101" s="79">
        <f t="shared" si="11"/>
        <v>0</v>
      </c>
      <c r="S101" s="79">
        <f t="shared" si="11"/>
        <v>1</v>
      </c>
      <c r="T101" s="79">
        <f t="shared" si="11"/>
        <v>1</v>
      </c>
      <c r="U101" s="79">
        <f t="shared" si="11"/>
        <v>0</v>
      </c>
      <c r="V101" s="79">
        <f t="shared" si="11"/>
        <v>1</v>
      </c>
      <c r="W101" s="79">
        <f t="shared" si="11"/>
        <v>0</v>
      </c>
      <c r="X101" s="80">
        <f t="shared" si="10"/>
        <v>0.8</v>
      </c>
      <c r="Y101" s="81" t="s">
        <v>234</v>
      </c>
      <c r="Z101" s="5"/>
      <c r="AA101" s="47"/>
      <c r="AB101" s="47"/>
      <c r="AC101" s="47"/>
    </row>
    <row r="102" ht="15.75" customHeight="1">
      <c r="A102" s="69"/>
      <c r="B102" s="69"/>
      <c r="C102" s="2"/>
      <c r="D102" s="47"/>
      <c r="E102" s="70"/>
      <c r="F102" s="70"/>
      <c r="G102" s="70"/>
      <c r="H102" s="44"/>
      <c r="I102" s="82" t="s">
        <v>235</v>
      </c>
      <c r="J102" s="84">
        <f t="shared" ref="J102:K102" si="12">(COUNTIF(J3:J98,"A") + COUNTIF(J3:J98,"T") + COUNTIF(J3:J98,"F") + COUNTIF(J3:J98,"J"))</f>
        <v>34</v>
      </c>
      <c r="K102" s="84">
        <f t="shared" si="12"/>
        <v>35</v>
      </c>
      <c r="L102" s="83"/>
      <c r="M102" s="84">
        <f t="shared" ref="M102:N102" si="13">(COUNTIF(M3:M98,"A") + COUNTIF(M3:M98,"T") + COUNTIF(M3:M98,"F") + COUNTIF(M3:M98,"J"))</f>
        <v>37</v>
      </c>
      <c r="N102" s="84">
        <f t="shared" si="13"/>
        <v>38</v>
      </c>
      <c r="O102" s="83"/>
      <c r="P102" s="84">
        <f t="shared" ref="P102:Q102" si="14">(COUNTIF(P3:P98,"A") + COUNTIF(P3:P98,"T") + COUNTIF(P3:P98,"F") + COUNTIF(P3:P98,"J"))</f>
        <v>38</v>
      </c>
      <c r="Q102" s="84">
        <f t="shared" si="14"/>
        <v>37</v>
      </c>
      <c r="R102" s="83"/>
      <c r="S102" s="84">
        <f t="shared" ref="S102:T102" si="15">(COUNTIF(S3:S98,"A") + COUNTIF(S3:S98,"T") + COUNTIF(S3:S98,"F") + COUNTIF(S3:S98,"J"))</f>
        <v>37</v>
      </c>
      <c r="T102" s="84">
        <f t="shared" si="15"/>
        <v>37</v>
      </c>
      <c r="U102" s="83"/>
      <c r="V102" s="84">
        <f t="shared" ref="V102:W102" si="16">(COUNTIF(V3:V98,"A") + COUNTIF(V3:V98,"T") + COUNTIF(V3:V98,"F") + COUNTIF(V3:V98,"J"))</f>
        <v>37</v>
      </c>
      <c r="W102" s="84">
        <f t="shared" si="16"/>
        <v>42</v>
      </c>
      <c r="X102" s="95">
        <f t="shared" si="10"/>
        <v>37.2</v>
      </c>
      <c r="Y102" s="81" t="s">
        <v>236</v>
      </c>
      <c r="Z102" s="5"/>
      <c r="AA102" s="47"/>
      <c r="AB102" s="47"/>
      <c r="AC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8"/>
  <mergeCells count="29">
    <mergeCell ref="C1:H1"/>
    <mergeCell ref="J1:W1"/>
    <mergeCell ref="Y1:Z1"/>
    <mergeCell ref="Z3:AC3"/>
    <mergeCell ref="Z4:AC4"/>
    <mergeCell ref="Z5:AC5"/>
    <mergeCell ref="Z6:AC6"/>
    <mergeCell ref="Z7:AC7"/>
    <mergeCell ref="Z8:AC8"/>
    <mergeCell ref="Z9:AC9"/>
    <mergeCell ref="Z10:AC10"/>
    <mergeCell ref="Y42:Z42"/>
    <mergeCell ref="AB42:AC42"/>
    <mergeCell ref="Y43:Z43"/>
    <mergeCell ref="Y51:Z51"/>
    <mergeCell ref="Y52:Z52"/>
    <mergeCell ref="Y53:Z53"/>
    <mergeCell ref="Y54:Z54"/>
    <mergeCell ref="Y55:Z55"/>
    <mergeCell ref="Y56:Z56"/>
    <mergeCell ref="Y101:Z101"/>
    <mergeCell ref="Y102:Z102"/>
    <mergeCell ref="Y44:Z44"/>
    <mergeCell ref="Y45:Z45"/>
    <mergeCell ref="Y46:Z46"/>
    <mergeCell ref="Y47:Z47"/>
    <mergeCell ref="Y48:Z48"/>
    <mergeCell ref="Y49:Z49"/>
    <mergeCell ref="Y50:Z50"/>
  </mergeCells>
  <conditionalFormatting sqref="AB45:AB47 AC47">
    <cfRule type="containsText" dxfId="1" priority="1" operator="containsText" text="Si">
      <formula>NOT(ISERROR(SEARCH(("Si"),(AB45))))</formula>
    </cfRule>
  </conditionalFormatting>
  <conditionalFormatting sqref="J3:W98 Y3:Y10">
    <cfRule type="containsText" dxfId="2" priority="2" operator="containsText" text="A">
      <formula>NOT(ISERROR(SEARCH(("A"),(J3))))</formula>
    </cfRule>
  </conditionalFormatting>
  <conditionalFormatting sqref="J3:W98 Y3:Y10">
    <cfRule type="containsText" dxfId="3" priority="3" operator="containsText" text="F">
      <formula>NOT(ISERROR(SEARCH(("F"),(J3))))</formula>
    </cfRule>
  </conditionalFormatting>
  <conditionalFormatting sqref="J3:W98 Y3:Y10">
    <cfRule type="containsText" dxfId="4" priority="4" operator="containsText" text="J">
      <formula>NOT(ISERROR(SEARCH(("J"),(J3))))</formula>
    </cfRule>
  </conditionalFormatting>
  <conditionalFormatting sqref="J3:W98 Y3:Y10">
    <cfRule type="containsText" dxfId="5" priority="5" operator="containsText" text="R">
      <formula>NOT(ISERROR(SEARCH(("R"),(J3))))</formula>
    </cfRule>
  </conditionalFormatting>
  <conditionalFormatting sqref="J3:W98 Y3:Y10">
    <cfRule type="containsText" dxfId="6" priority="6" operator="containsText" text="L">
      <formula>NOT(ISERROR(SEARCH(("L"),(J3))))</formula>
    </cfRule>
  </conditionalFormatting>
  <conditionalFormatting sqref="AA24:AA25 AA44:AA56 AA67:AA98">
    <cfRule type="expression" dxfId="7" priority="7">
      <formula>AND(ISNUMBER(AA24),TRUNC(AA24)&lt;TODAY())</formula>
    </cfRule>
  </conditionalFormatting>
  <conditionalFormatting sqref="AA24:AA25 AA44:AA56 AA67:AA98">
    <cfRule type="expression" dxfId="8" priority="8">
      <formula>AND(ISNUMBER(AA24),TRUNC(AA24)&gt;TODAY())</formula>
    </cfRule>
  </conditionalFormatting>
  <conditionalFormatting sqref="AA24:AA25 AA44:AA56 AA67:AA98">
    <cfRule type="timePeriod" dxfId="9" priority="9" timePeriod="today"/>
  </conditionalFormatting>
  <conditionalFormatting sqref="AB24:AC24 AB44:AC56 AB67:AC98">
    <cfRule type="containsText" dxfId="7" priority="10" operator="containsText" text="No">
      <formula>NOT(ISERROR(SEARCH(("No"),(AB24))))</formula>
    </cfRule>
  </conditionalFormatting>
  <conditionalFormatting sqref="J3:W98 Y3:Y10">
    <cfRule type="containsText" dxfId="10" priority="11" operator="containsText" text="T">
      <formula>NOT(ISERROR(SEARCH(("T"),(J3))))</formula>
    </cfRule>
  </conditionalFormatting>
  <conditionalFormatting sqref="AB24:AC24 AB44:AC56 AB67:AC98">
    <cfRule type="containsText" dxfId="1" priority="12" operator="containsText" text="Sí">
      <formula>NOT(ISERROR(SEARCH(("Sí"),(AB24))))</formula>
    </cfRule>
  </conditionalFormatting>
  <conditionalFormatting sqref="J3:W98 Y3:Y10">
    <cfRule type="containsText" dxfId="11" priority="13" operator="containsText" text="O">
      <formula>NOT(ISERROR(SEARCH(("O"),(J3))))</formula>
    </cfRule>
  </conditionalFormatting>
  <conditionalFormatting sqref="J102:W102">
    <cfRule type="cellIs" dxfId="1" priority="14" operator="equal">
      <formula>"OK"</formula>
    </cfRule>
  </conditionalFormatting>
  <conditionalFormatting sqref="J102:W102">
    <cfRule type="cellIs" dxfId="7" priority="15" operator="equal">
      <formula>"NO"</formula>
    </cfRule>
  </conditionalFormatting>
  <conditionalFormatting sqref="X3:X98">
    <cfRule type="cellIs" dxfId="2" priority="16" operator="greaterThanOrEqual">
      <formula>"75%"</formula>
    </cfRule>
  </conditionalFormatting>
  <conditionalFormatting sqref="X3:X98">
    <cfRule type="cellIs" dxfId="12" priority="17" operator="lessThan">
      <formula>"50%"</formula>
    </cfRule>
  </conditionalFormatting>
  <conditionalFormatting sqref="J3:W98">
    <cfRule type="cellIs" dxfId="0" priority="18" operator="equal">
      <formula>"NP"</formula>
    </cfRule>
  </conditionalFormatting>
  <conditionalFormatting sqref="Y10">
    <cfRule type="cellIs" dxfId="0" priority="19" operator="equal">
      <formula>"NP"</formula>
    </cfRule>
  </conditionalFormatting>
  <dataValidations>
    <dataValidation type="list" allowBlank="1" showErrorMessage="1" sqref="E3:F98">
      <formula1>"FL,TE,TS,MC,MG,GL,OD,RO,AT"</formula1>
    </dataValidation>
    <dataValidation type="list" allowBlank="1" showInputMessage="1" showErrorMessage="1" prompt="Haz clic e introduce un valor de la lista de elementos" sqref="J3:W98">
      <formula1>"A,J,T,F,O,L,R,NP"</formula1>
    </dataValidation>
  </dataValidations>
  <hyperlinks>
    <hyperlink display="Licencia - ver Licencias" location="Mayo!Y42:AC56" ref="Z6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3" width="10.43"/>
    <col customWidth="1" min="4" max="4" width="12.86"/>
    <col customWidth="1" min="5" max="5" width="5.43"/>
    <col customWidth="1" min="6" max="6" width="14.0"/>
    <col customWidth="1" min="7" max="7" width="10.86"/>
    <col customWidth="1" min="8" max="19" width="5.86"/>
    <col customWidth="1" min="20" max="20" width="7.29"/>
    <col customWidth="1" min="21" max="21" width="15.29"/>
    <col customWidth="1" min="22" max="22" width="12.14"/>
    <col customWidth="1" min="23" max="23" width="12.29"/>
    <col customWidth="1" min="24" max="24" width="11.57"/>
    <col customWidth="1" min="25" max="25" width="12.43"/>
    <col customWidth="1" min="26" max="26" width="8.71"/>
  </cols>
  <sheetData>
    <row r="1" ht="15.75" customHeight="1">
      <c r="A1" s="100" t="s">
        <v>0</v>
      </c>
      <c r="B1" s="101" t="s">
        <v>1</v>
      </c>
      <c r="C1" s="102" t="s">
        <v>2</v>
      </c>
      <c r="D1" s="4"/>
      <c r="E1" s="4"/>
      <c r="F1" s="5"/>
      <c r="G1" s="100"/>
      <c r="H1" s="103" t="s">
        <v>273</v>
      </c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104">
        <v>8.0</v>
      </c>
      <c r="U1" s="104" t="s">
        <v>274</v>
      </c>
      <c r="V1" s="105"/>
      <c r="W1" s="100" t="s">
        <v>275</v>
      </c>
      <c r="X1" s="105"/>
      <c r="Y1" s="105"/>
    </row>
    <row r="2" ht="15.75" customHeight="1">
      <c r="A2" s="106"/>
      <c r="B2" s="107"/>
      <c r="C2" s="107" t="s">
        <v>8</v>
      </c>
      <c r="D2" s="106" t="s">
        <v>9</v>
      </c>
      <c r="E2" s="108"/>
      <c r="F2" s="109" t="s">
        <v>14</v>
      </c>
      <c r="G2" s="106" t="s">
        <v>15</v>
      </c>
      <c r="H2" s="110">
        <v>43193.0</v>
      </c>
      <c r="I2" s="110">
        <v>43195.0</v>
      </c>
      <c r="J2" s="111">
        <v>43198.0</v>
      </c>
      <c r="K2" s="110">
        <v>43200.0</v>
      </c>
      <c r="L2" s="110">
        <v>43202.0</v>
      </c>
      <c r="M2" s="111">
        <v>43205.0</v>
      </c>
      <c r="N2" s="110">
        <v>43207.0</v>
      </c>
      <c r="O2" s="110">
        <v>43209.0</v>
      </c>
      <c r="P2" s="111">
        <v>43212.0</v>
      </c>
      <c r="Q2" s="112">
        <v>43214.0</v>
      </c>
      <c r="R2" s="112">
        <v>43216.0</v>
      </c>
      <c r="S2" s="111">
        <v>43219.0</v>
      </c>
      <c r="T2" s="113" t="s">
        <v>16</v>
      </c>
      <c r="U2" s="105"/>
      <c r="V2" s="105"/>
      <c r="W2" s="100"/>
      <c r="Y2" s="105"/>
    </row>
    <row r="3" ht="15.75" customHeight="1">
      <c r="A3" s="114">
        <f t="shared" ref="A3:A20" si="1">IF(F3="ALTM",1,IF(F3="1° P",2,IF(F3="1° P - 1°M",3,IF(F3="1° P - 2°M",4,IF(F3="2° P",5,IF(F3="2° P - 3°M",6,IF(F3="2° P - 4°M",7,IF(F3="1° PP",8,IF(F3="1° PP - 1°Pa",9,IF(F3="1° PP - 2°Pa",10,IF(F3="Espectro",11,IF(F3="Caballeria",12,IF(F3="FAZR",13,15)))))))))))))</f>
        <v>1</v>
      </c>
      <c r="B3" s="114">
        <f t="shared" ref="B3:B20" si="2">IF(C3="Cap.",1,IF(C3="Tte.",2,IF(C3="Alf.",3,IF(C3="SgtM.",4,IF(C3="Sgt1.",5,IF(C3="Sgt.",6,IF(C3="Cbo1.",7,IF(C3="Cbo.",8,IF(C3="Dis.",9,IF(C3="Inf.",10,IF(C3="Rct.",11,15)))))))))))</f>
        <v>2</v>
      </c>
      <c r="C3" s="107" t="s">
        <v>240</v>
      </c>
      <c r="D3" s="115" t="s">
        <v>18</v>
      </c>
      <c r="E3" s="116" t="str">
        <f t="shared" ref="E3:E5" si="3">image("http://www.zrarmy.com/images/ven.jpg", 1)</f>
        <v/>
      </c>
      <c r="F3" s="117" t="s">
        <v>22</v>
      </c>
      <c r="G3" s="115" t="s">
        <v>23</v>
      </c>
      <c r="H3" s="115"/>
      <c r="I3" s="115" t="s">
        <v>24</v>
      </c>
      <c r="J3" s="115"/>
      <c r="K3" s="115" t="s">
        <v>24</v>
      </c>
      <c r="L3" s="115" t="s">
        <v>24</v>
      </c>
      <c r="M3" s="115"/>
      <c r="N3" s="115" t="s">
        <v>21</v>
      </c>
      <c r="O3" s="115" t="s">
        <v>21</v>
      </c>
      <c r="P3" s="115" t="s">
        <v>58</v>
      </c>
      <c r="Q3" s="115" t="s">
        <v>21</v>
      </c>
      <c r="R3" s="115" t="s">
        <v>21</v>
      </c>
      <c r="S3" s="115"/>
      <c r="T3" s="118">
        <f t="shared" ref="T3:T98" si="4">SUM( (COUNTIF(H3,"A") + COUNTIF(H3,"T") + (COUNTIF(H3,"O")/2) )+ (COUNTIF(I3,"A") + COUNTIF(I3,"T") + (COUNTIF(I3,"O")/2) )+ (COUNTIF(J3,"A") + COUNTIF(J3,"T") + (COUNTIF(J3,"O")/2) )+ (COUNTIF(K3,"A") + COUNTIF(K3,"T") + (COUNTIF(K3,"O")/2) )+ (COUNTIF(L3,"A") + COUNTIF(L3,"T") + (COUNTIF(L3,"O")/2) )+ (COUNTIF(M3,"A") + COUNTIF(M3,"T") + (COUNTIF(M3,"O")/2) )+ (COUNTIF(N3,"A") + COUNTIF(N3,"T") + (COUNTIF(N3,"O")/2) )+ (COUNTIF(O3,"A") + COUNTIF(O3,"T") + (COUNTIF(O3,"O")/2) )+ (COUNTIF(P3,"A") + COUNTIF(P3,"T") + (COUNTIF(P3,"O")/2) )+ (COUNTIF(Q3,"A") + COUNTIF(Q3,"T") + (COUNTIF(Q3,"O")/2) )+ (COUNTIF(R3,"A") + COUNTIF(R3,"T") + (COUNTIF(R3,"O")/2) )+ (COUNTIF(S3,"A") + COUNTIF(S3,"T") + (COUNTIF(S3,"O")/2) ) )/$T$1</f>
        <v>0.5625</v>
      </c>
      <c r="U3" s="119" t="s">
        <v>21</v>
      </c>
      <c r="V3" s="120" t="s">
        <v>280</v>
      </c>
    </row>
    <row r="4" ht="15.75" customHeight="1">
      <c r="A4" s="114">
        <f t="shared" si="1"/>
        <v>1</v>
      </c>
      <c r="B4" s="114">
        <f t="shared" si="2"/>
        <v>1</v>
      </c>
      <c r="C4" s="107" t="s">
        <v>17</v>
      </c>
      <c r="D4" s="115" t="s">
        <v>35</v>
      </c>
      <c r="E4" s="116" t="str">
        <f t="shared" si="3"/>
        <v/>
      </c>
      <c r="F4" s="117" t="s">
        <v>22</v>
      </c>
      <c r="G4" s="121" t="s">
        <v>101</v>
      </c>
      <c r="H4" s="115" t="s">
        <v>30</v>
      </c>
      <c r="I4" s="115" t="s">
        <v>30</v>
      </c>
      <c r="J4" s="115" t="s">
        <v>30</v>
      </c>
      <c r="K4" s="115" t="s">
        <v>30</v>
      </c>
      <c r="L4" s="115" t="s">
        <v>30</v>
      </c>
      <c r="M4" s="115" t="s">
        <v>30</v>
      </c>
      <c r="N4" s="115" t="s">
        <v>30</v>
      </c>
      <c r="O4" s="115" t="s">
        <v>30</v>
      </c>
      <c r="P4" s="115" t="s">
        <v>30</v>
      </c>
      <c r="Q4" s="115" t="s">
        <v>30</v>
      </c>
      <c r="R4" s="115" t="s">
        <v>30</v>
      </c>
      <c r="S4" s="115" t="s">
        <v>30</v>
      </c>
      <c r="T4" s="118">
        <f t="shared" si="4"/>
        <v>0</v>
      </c>
      <c r="U4" s="115" t="s">
        <v>33</v>
      </c>
      <c r="V4" s="122" t="s">
        <v>281</v>
      </c>
    </row>
    <row r="5" ht="15.75" customHeight="1">
      <c r="A5" s="114">
        <f t="shared" si="1"/>
        <v>1</v>
      </c>
      <c r="B5" s="114">
        <f t="shared" si="2"/>
        <v>1</v>
      </c>
      <c r="C5" s="107" t="s">
        <v>17</v>
      </c>
      <c r="D5" s="115" t="s">
        <v>32</v>
      </c>
      <c r="E5" s="116" t="str">
        <f t="shared" si="3"/>
        <v/>
      </c>
      <c r="F5" s="117" t="s">
        <v>22</v>
      </c>
      <c r="G5" s="123" t="s">
        <v>101</v>
      </c>
      <c r="H5" s="115" t="s">
        <v>30</v>
      </c>
      <c r="I5" s="115" t="s">
        <v>30</v>
      </c>
      <c r="J5" s="115" t="s">
        <v>30</v>
      </c>
      <c r="K5" s="115" t="s">
        <v>30</v>
      </c>
      <c r="L5" s="115" t="s">
        <v>30</v>
      </c>
      <c r="M5" s="115" t="s">
        <v>30</v>
      </c>
      <c r="N5" s="115" t="s">
        <v>30</v>
      </c>
      <c r="O5" s="115" t="s">
        <v>30</v>
      </c>
      <c r="P5" s="115" t="s">
        <v>30</v>
      </c>
      <c r="Q5" s="115" t="s">
        <v>30</v>
      </c>
      <c r="R5" s="115" t="s">
        <v>30</v>
      </c>
      <c r="S5" s="115" t="s">
        <v>30</v>
      </c>
      <c r="T5" s="118">
        <f t="shared" si="4"/>
        <v>0</v>
      </c>
      <c r="U5" s="115" t="s">
        <v>24</v>
      </c>
      <c r="V5" s="122" t="s">
        <v>282</v>
      </c>
    </row>
    <row r="6" ht="15.75" customHeight="1">
      <c r="A6" s="114">
        <f t="shared" si="1"/>
        <v>1</v>
      </c>
      <c r="B6" s="114">
        <f t="shared" si="2"/>
        <v>3</v>
      </c>
      <c r="C6" s="107" t="s">
        <v>26</v>
      </c>
      <c r="D6" s="115" t="s">
        <v>27</v>
      </c>
      <c r="E6" s="116" t="str">
        <f>image("http://www.zrarmy.com/images/arg.png", 1)</f>
        <v/>
      </c>
      <c r="F6" s="109" t="s">
        <v>22</v>
      </c>
      <c r="G6" s="115" t="s">
        <v>101</v>
      </c>
      <c r="H6" s="115" t="s">
        <v>30</v>
      </c>
      <c r="I6" s="115" t="s">
        <v>30</v>
      </c>
      <c r="J6" s="115" t="s">
        <v>30</v>
      </c>
      <c r="K6" s="115" t="s">
        <v>30</v>
      </c>
      <c r="L6" s="115" t="s">
        <v>30</v>
      </c>
      <c r="M6" s="115" t="s">
        <v>30</v>
      </c>
      <c r="N6" s="115" t="s">
        <v>30</v>
      </c>
      <c r="O6" s="115" t="s">
        <v>30</v>
      </c>
      <c r="P6" s="115" t="s">
        <v>30</v>
      </c>
      <c r="Q6" s="115" t="s">
        <v>30</v>
      </c>
      <c r="R6" s="115" t="s">
        <v>30</v>
      </c>
      <c r="S6" s="115" t="s">
        <v>30</v>
      </c>
      <c r="T6" s="118">
        <f t="shared" si="4"/>
        <v>0</v>
      </c>
      <c r="U6" s="115" t="s">
        <v>37</v>
      </c>
      <c r="V6" s="122" t="s">
        <v>38</v>
      </c>
    </row>
    <row r="7" ht="15.75" customHeight="1">
      <c r="A7" s="114">
        <f t="shared" si="1"/>
        <v>2</v>
      </c>
      <c r="B7" s="114">
        <f t="shared" si="2"/>
        <v>5</v>
      </c>
      <c r="C7" s="107" t="s">
        <v>184</v>
      </c>
      <c r="D7" s="115" t="s">
        <v>40</v>
      </c>
      <c r="E7" s="116" t="str">
        <f>image("http://www.zrarmy.com/images/pan.jpg", 1)</f>
        <v/>
      </c>
      <c r="F7" s="109" t="s">
        <v>42</v>
      </c>
      <c r="G7" s="115" t="s">
        <v>43</v>
      </c>
      <c r="H7" s="115"/>
      <c r="I7" s="115" t="s">
        <v>24</v>
      </c>
      <c r="J7" s="115"/>
      <c r="K7" s="115" t="s">
        <v>24</v>
      </c>
      <c r="L7" s="115" t="s">
        <v>24</v>
      </c>
      <c r="M7" s="115"/>
      <c r="N7" s="115" t="s">
        <v>21</v>
      </c>
      <c r="O7" s="115" t="s">
        <v>21</v>
      </c>
      <c r="P7" s="115"/>
      <c r="Q7" s="115" t="s">
        <v>21</v>
      </c>
      <c r="R7" s="115" t="s">
        <v>21</v>
      </c>
      <c r="S7" s="115"/>
      <c r="T7" s="118">
        <f t="shared" si="4"/>
        <v>0.5</v>
      </c>
      <c r="U7" s="115" t="s">
        <v>30</v>
      </c>
      <c r="V7" s="122" t="s">
        <v>101</v>
      </c>
    </row>
    <row r="8" ht="15.75" customHeight="1">
      <c r="A8" s="114">
        <f t="shared" si="1"/>
        <v>3</v>
      </c>
      <c r="B8" s="114">
        <f t="shared" si="2"/>
        <v>9</v>
      </c>
      <c r="C8" s="107" t="s">
        <v>64</v>
      </c>
      <c r="D8" s="115" t="s">
        <v>47</v>
      </c>
      <c r="E8" s="116" t="str">
        <f t="shared" ref="E8:E9" si="5">image("http://www.zrarmy.com/images/chi.jpg", 1)</f>
        <v/>
      </c>
      <c r="F8" s="109" t="s">
        <v>50</v>
      </c>
      <c r="G8" s="115" t="s">
        <v>57</v>
      </c>
      <c r="H8" s="115"/>
      <c r="I8" s="115" t="s">
        <v>21</v>
      </c>
      <c r="J8" s="115" t="s">
        <v>58</v>
      </c>
      <c r="K8" s="115" t="s">
        <v>21</v>
      </c>
      <c r="L8" s="115" t="s">
        <v>21</v>
      </c>
      <c r="M8" s="115"/>
      <c r="N8" s="115" t="s">
        <v>21</v>
      </c>
      <c r="O8" s="115" t="s">
        <v>21</v>
      </c>
      <c r="P8" s="115"/>
      <c r="Q8" s="115" t="s">
        <v>21</v>
      </c>
      <c r="R8" s="115" t="s">
        <v>21</v>
      </c>
      <c r="S8" s="115"/>
      <c r="T8" s="118">
        <f t="shared" si="4"/>
        <v>0.9375</v>
      </c>
      <c r="U8" s="115" t="s">
        <v>52</v>
      </c>
      <c r="V8" s="122" t="s">
        <v>283</v>
      </c>
    </row>
    <row r="9" ht="15.75" customHeight="1">
      <c r="A9" s="114">
        <f t="shared" si="1"/>
        <v>3</v>
      </c>
      <c r="B9" s="114">
        <f t="shared" si="2"/>
        <v>9</v>
      </c>
      <c r="C9" s="107" t="s">
        <v>64</v>
      </c>
      <c r="D9" s="115" t="s">
        <v>121</v>
      </c>
      <c r="E9" s="116" t="str">
        <f t="shared" si="5"/>
        <v/>
      </c>
      <c r="F9" s="109" t="s">
        <v>50</v>
      </c>
      <c r="G9" s="115" t="s">
        <v>63</v>
      </c>
      <c r="H9" s="115"/>
      <c r="I9" s="115" t="s">
        <v>30</v>
      </c>
      <c r="J9" s="115"/>
      <c r="K9" s="115" t="s">
        <v>30</v>
      </c>
      <c r="L9" s="115" t="s">
        <v>30</v>
      </c>
      <c r="M9" s="115"/>
      <c r="N9" s="115" t="s">
        <v>21</v>
      </c>
      <c r="O9" s="115" t="s">
        <v>21</v>
      </c>
      <c r="P9" s="115" t="s">
        <v>58</v>
      </c>
      <c r="Q9" s="115" t="s">
        <v>21</v>
      </c>
      <c r="R9" s="115" t="s">
        <v>24</v>
      </c>
      <c r="S9" s="115" t="s">
        <v>58</v>
      </c>
      <c r="T9" s="118">
        <f t="shared" si="4"/>
        <v>0.5</v>
      </c>
      <c r="U9" s="115" t="s">
        <v>58</v>
      </c>
      <c r="V9" s="122" t="s">
        <v>284</v>
      </c>
    </row>
    <row r="10" ht="15.75" customHeight="1">
      <c r="A10" s="114">
        <f t="shared" si="1"/>
        <v>3</v>
      </c>
      <c r="B10" s="114">
        <f t="shared" si="2"/>
        <v>9</v>
      </c>
      <c r="C10" s="107" t="s">
        <v>64</v>
      </c>
      <c r="D10" s="115" t="s">
        <v>67</v>
      </c>
      <c r="E10" s="124" t="str">
        <f>image("http://www.zrarmy.com/images/ven.jpg", 1)</f>
        <v/>
      </c>
      <c r="F10" s="109" t="s">
        <v>50</v>
      </c>
      <c r="G10" s="115" t="s">
        <v>68</v>
      </c>
      <c r="H10" s="115"/>
      <c r="I10" s="115" t="s">
        <v>21</v>
      </c>
      <c r="J10" s="115"/>
      <c r="K10" s="115" t="s">
        <v>24</v>
      </c>
      <c r="L10" s="115" t="s">
        <v>24</v>
      </c>
      <c r="M10" s="115"/>
      <c r="N10" s="115" t="s">
        <v>21</v>
      </c>
      <c r="O10" s="115" t="s">
        <v>21</v>
      </c>
      <c r="P10" s="115"/>
      <c r="Q10" s="115" t="s">
        <v>24</v>
      </c>
      <c r="R10" s="115" t="s">
        <v>24</v>
      </c>
      <c r="S10" s="115"/>
      <c r="T10" s="118">
        <f t="shared" si="4"/>
        <v>0.375</v>
      </c>
    </row>
    <row r="11" ht="15.75" customHeight="1">
      <c r="A11" s="114">
        <f t="shared" si="1"/>
        <v>3</v>
      </c>
      <c r="B11" s="114">
        <f t="shared" si="2"/>
        <v>10</v>
      </c>
      <c r="C11" s="107" t="s">
        <v>84</v>
      </c>
      <c r="D11" s="115" t="s">
        <v>211</v>
      </c>
      <c r="E11" s="116" t="str">
        <f>image("http://www.zrarmy.com/images/mex.jpg", 1)</f>
        <v/>
      </c>
      <c r="F11" s="109" t="s">
        <v>50</v>
      </c>
      <c r="G11" s="115" t="s">
        <v>68</v>
      </c>
      <c r="H11" s="115"/>
      <c r="I11" s="115" t="s">
        <v>21</v>
      </c>
      <c r="J11" s="115"/>
      <c r="K11" s="115" t="s">
        <v>21</v>
      </c>
      <c r="L11" s="115" t="s">
        <v>21</v>
      </c>
      <c r="M11" s="115" t="s">
        <v>58</v>
      </c>
      <c r="N11" s="115" t="s">
        <v>21</v>
      </c>
      <c r="O11" s="115" t="s">
        <v>21</v>
      </c>
      <c r="P11" s="115" t="s">
        <v>58</v>
      </c>
      <c r="Q11" s="115" t="s">
        <v>21</v>
      </c>
      <c r="R11" s="115" t="s">
        <v>21</v>
      </c>
      <c r="S11" s="115"/>
      <c r="T11" s="118">
        <f t="shared" si="4"/>
        <v>1</v>
      </c>
      <c r="U11" s="125" t="s">
        <v>72</v>
      </c>
      <c r="V11" s="125" t="s">
        <v>73</v>
      </c>
      <c r="X11" s="125" t="s">
        <v>74</v>
      </c>
      <c r="Y11" s="125" t="s">
        <v>73</v>
      </c>
    </row>
    <row r="12" ht="15.75" customHeight="1">
      <c r="A12" s="114">
        <f t="shared" si="1"/>
        <v>3</v>
      </c>
      <c r="B12" s="114">
        <f t="shared" si="2"/>
        <v>11</v>
      </c>
      <c r="C12" s="107" t="s">
        <v>79</v>
      </c>
      <c r="D12" s="115" t="s">
        <v>69</v>
      </c>
      <c r="E12" s="116" t="str">
        <f>image("http://www.zrarmy.com/images/arg.png", 1)</f>
        <v/>
      </c>
      <c r="F12" s="109" t="s">
        <v>50</v>
      </c>
      <c r="G12" s="115" t="s">
        <v>68</v>
      </c>
      <c r="H12" s="115"/>
      <c r="I12" s="115" t="s">
        <v>21</v>
      </c>
      <c r="J12" s="115" t="s">
        <v>58</v>
      </c>
      <c r="K12" s="115" t="s">
        <v>21</v>
      </c>
      <c r="L12" s="115" t="s">
        <v>24</v>
      </c>
      <c r="M12" s="115"/>
      <c r="N12" s="115" t="s">
        <v>21</v>
      </c>
      <c r="O12" s="115" t="s">
        <v>21</v>
      </c>
      <c r="P12" s="115" t="s">
        <v>58</v>
      </c>
      <c r="Q12" s="115" t="s">
        <v>24</v>
      </c>
      <c r="R12" s="115" t="s">
        <v>21</v>
      </c>
      <c r="S12" s="115" t="s">
        <v>58</v>
      </c>
      <c r="T12" s="118">
        <f t="shared" si="4"/>
        <v>0.8125</v>
      </c>
      <c r="U12" s="126" t="s">
        <v>77</v>
      </c>
      <c r="V12" s="127">
        <f>COUNTIF(F3:F98,"1° P - 1°M")</f>
        <v>8</v>
      </c>
      <c r="X12" s="128" t="s">
        <v>78</v>
      </c>
      <c r="Y12" s="127">
        <f>COUNTIF(C3:C98,"Rct.")</f>
        <v>17</v>
      </c>
    </row>
    <row r="13" ht="15.75" customHeight="1">
      <c r="A13" s="114">
        <f t="shared" si="1"/>
        <v>3</v>
      </c>
      <c r="B13" s="114">
        <f t="shared" si="2"/>
        <v>11</v>
      </c>
      <c r="C13" s="107" t="s">
        <v>79</v>
      </c>
      <c r="D13" s="115" t="s">
        <v>285</v>
      </c>
      <c r="E13" s="116" t="str">
        <f>image("http://www.zrarmy.com/images/ven.jpg", 1)</f>
        <v/>
      </c>
      <c r="F13" s="109" t="s">
        <v>50</v>
      </c>
      <c r="G13" s="115" t="s">
        <v>68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 t="s">
        <v>21</v>
      </c>
      <c r="S13" s="115"/>
      <c r="T13" s="118">
        <f t="shared" si="4"/>
        <v>0.125</v>
      </c>
      <c r="U13" s="126" t="s">
        <v>81</v>
      </c>
      <c r="V13" s="127">
        <f>COUNTIF(F3:F98,"1° P - 2°M")</f>
        <v>10</v>
      </c>
      <c r="X13" s="128" t="s">
        <v>82</v>
      </c>
      <c r="Y13" s="127">
        <f>COUNTIF(C3:C98,"Inf.")</f>
        <v>11</v>
      </c>
    </row>
    <row r="14" ht="15.75" customHeight="1">
      <c r="A14" s="114">
        <f t="shared" si="1"/>
        <v>3</v>
      </c>
      <c r="B14" s="114">
        <f t="shared" si="2"/>
        <v>11</v>
      </c>
      <c r="C14" s="107" t="s">
        <v>79</v>
      </c>
      <c r="D14" s="115" t="s">
        <v>203</v>
      </c>
      <c r="E14" s="116" t="str">
        <f>image("http://www.zrarmy.com/images/arg.png", 1)</f>
        <v/>
      </c>
      <c r="F14" s="109" t="s">
        <v>50</v>
      </c>
      <c r="G14" s="115" t="s">
        <v>68</v>
      </c>
      <c r="H14" s="129"/>
      <c r="I14" s="130"/>
      <c r="J14" s="130"/>
      <c r="K14" s="130"/>
      <c r="L14" s="130"/>
      <c r="M14" s="130"/>
      <c r="N14" s="130"/>
      <c r="O14" s="130"/>
      <c r="P14" s="130"/>
      <c r="Q14" s="131"/>
      <c r="R14" s="130" t="s">
        <v>21</v>
      </c>
      <c r="S14" s="115"/>
      <c r="T14" s="118">
        <f t="shared" si="4"/>
        <v>0.125</v>
      </c>
      <c r="U14" s="126" t="s">
        <v>86</v>
      </c>
      <c r="V14" s="127">
        <f>COUNTIF(F3:F98,"1° PP - 1°Pa")</f>
        <v>9</v>
      </c>
      <c r="X14" s="128" t="s">
        <v>87</v>
      </c>
      <c r="Y14" s="127">
        <f>COUNTIF(C3:C98,"Dis.")</f>
        <v>16</v>
      </c>
    </row>
    <row r="15" ht="15.75" customHeight="1">
      <c r="A15" s="114">
        <f t="shared" si="1"/>
        <v>3</v>
      </c>
      <c r="B15" s="114">
        <f t="shared" si="2"/>
        <v>11</v>
      </c>
      <c r="C15" s="107" t="s">
        <v>79</v>
      </c>
      <c r="D15" s="115" t="s">
        <v>278</v>
      </c>
      <c r="E15" s="116" t="str">
        <f>image("http://www.zrarmy.com/images/cra.jpg", 1)</f>
        <v/>
      </c>
      <c r="F15" s="109" t="s">
        <v>50</v>
      </c>
      <c r="G15" s="115" t="s">
        <v>85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 t="s">
        <v>24</v>
      </c>
      <c r="S15" s="115" t="s">
        <v>58</v>
      </c>
      <c r="T15" s="118">
        <f t="shared" si="4"/>
        <v>0.0625</v>
      </c>
      <c r="U15" s="126" t="s">
        <v>89</v>
      </c>
      <c r="V15" s="127">
        <f>COUNTIF(F3:F98,"Espectro")</f>
        <v>3</v>
      </c>
      <c r="X15" s="128" t="s">
        <v>90</v>
      </c>
      <c r="Y15" s="127">
        <f>COUNTIF(C3:C98,"Cbo.")</f>
        <v>8</v>
      </c>
    </row>
    <row r="16" ht="15.75" customHeight="1">
      <c r="A16" s="114">
        <f t="shared" si="1"/>
        <v>4</v>
      </c>
      <c r="B16" s="114">
        <f t="shared" si="2"/>
        <v>7</v>
      </c>
      <c r="C16" s="107" t="s">
        <v>46</v>
      </c>
      <c r="D16" s="115" t="s">
        <v>114</v>
      </c>
      <c r="E16" s="124" t="str">
        <f>image("http://www.zrarmy.com/images/ven.jpg", 1)</f>
        <v/>
      </c>
      <c r="F16" s="109" t="s">
        <v>115</v>
      </c>
      <c r="G16" s="115" t="s">
        <v>51</v>
      </c>
      <c r="H16" s="115" t="s">
        <v>21</v>
      </c>
      <c r="I16" s="115" t="s">
        <v>21</v>
      </c>
      <c r="J16" s="115" t="s">
        <v>58</v>
      </c>
      <c r="K16" s="115" t="s">
        <v>21</v>
      </c>
      <c r="L16" s="115" t="s">
        <v>21</v>
      </c>
      <c r="M16" s="115" t="s">
        <v>58</v>
      </c>
      <c r="N16" s="115" t="s">
        <v>21</v>
      </c>
      <c r="O16" s="115" t="s">
        <v>21</v>
      </c>
      <c r="P16" s="115"/>
      <c r="Q16" s="115" t="s">
        <v>21</v>
      </c>
      <c r="R16" s="115" t="s">
        <v>21</v>
      </c>
      <c r="S16" s="115"/>
      <c r="T16" s="118">
        <f t="shared" si="4"/>
        <v>1.125</v>
      </c>
      <c r="U16" s="126" t="s">
        <v>92</v>
      </c>
      <c r="V16" s="127">
        <f>COUNTIF(F3:F98,"Caballeria")</f>
        <v>5</v>
      </c>
      <c r="X16" s="128" t="s">
        <v>93</v>
      </c>
      <c r="Y16" s="127">
        <f>COUNTIF(C3:C98,"Cbo1.")</f>
        <v>8</v>
      </c>
    </row>
    <row r="17" ht="15.75" customHeight="1">
      <c r="A17" s="114">
        <f t="shared" si="1"/>
        <v>4</v>
      </c>
      <c r="B17" s="114">
        <f t="shared" si="2"/>
        <v>8</v>
      </c>
      <c r="C17" s="107" t="s">
        <v>54</v>
      </c>
      <c r="D17" s="115" t="s">
        <v>118</v>
      </c>
      <c r="E17" s="116" t="str">
        <f>image("http://www.zrarmy.com/images/mex.jpg", 1)</f>
        <v/>
      </c>
      <c r="F17" s="109" t="s">
        <v>115</v>
      </c>
      <c r="G17" s="115" t="s">
        <v>57</v>
      </c>
      <c r="H17" s="115" t="s">
        <v>21</v>
      </c>
      <c r="I17" s="115" t="s">
        <v>21</v>
      </c>
      <c r="J17" s="115"/>
      <c r="K17" s="115" t="s">
        <v>21</v>
      </c>
      <c r="L17" s="115" t="s">
        <v>21</v>
      </c>
      <c r="M17" s="115"/>
      <c r="N17" s="115" t="s">
        <v>21</v>
      </c>
      <c r="O17" s="115" t="s">
        <v>21</v>
      </c>
      <c r="P17" s="115"/>
      <c r="Q17" s="115" t="s">
        <v>21</v>
      </c>
      <c r="R17" s="115" t="s">
        <v>21</v>
      </c>
      <c r="S17" s="115"/>
      <c r="T17" s="118">
        <f t="shared" si="4"/>
        <v>1</v>
      </c>
      <c r="U17" s="126" t="s">
        <v>95</v>
      </c>
      <c r="V17" s="127">
        <f>COUNTIF(F3:F98,"FAZR")</f>
        <v>4</v>
      </c>
      <c r="X17" s="128" t="s">
        <v>96</v>
      </c>
      <c r="Y17" s="127">
        <f>COUNTIF(C3:C98,"Sgt.")</f>
        <v>2</v>
      </c>
    </row>
    <row r="18" ht="15.75" customHeight="1">
      <c r="A18" s="114">
        <f t="shared" si="1"/>
        <v>4</v>
      </c>
      <c r="B18" s="114">
        <f t="shared" si="2"/>
        <v>9</v>
      </c>
      <c r="C18" s="107" t="s">
        <v>64</v>
      </c>
      <c r="D18" s="115" t="s">
        <v>218</v>
      </c>
      <c r="E18" s="116" t="str">
        <f>image("http://www.zrarmy.com/images/arg.png", 1)</f>
        <v/>
      </c>
      <c r="F18" s="109" t="s">
        <v>115</v>
      </c>
      <c r="G18" s="115" t="s">
        <v>63</v>
      </c>
      <c r="H18" s="115" t="s">
        <v>21</v>
      </c>
      <c r="I18" s="115" t="s">
        <v>21</v>
      </c>
      <c r="J18" s="115"/>
      <c r="K18" s="115" t="s">
        <v>24</v>
      </c>
      <c r="L18" s="115" t="s">
        <v>21</v>
      </c>
      <c r="M18" s="115"/>
      <c r="N18" s="115" t="s">
        <v>24</v>
      </c>
      <c r="O18" s="115" t="s">
        <v>21</v>
      </c>
      <c r="P18" s="115"/>
      <c r="Q18" s="115" t="s">
        <v>24</v>
      </c>
      <c r="R18" s="115" t="s">
        <v>21</v>
      </c>
      <c r="S18" s="115"/>
      <c r="T18" s="118">
        <f t="shared" si="4"/>
        <v>0.625</v>
      </c>
      <c r="U18" s="126" t="s">
        <v>101</v>
      </c>
      <c r="V18" s="127">
        <f>COUNTIF(G3:G98,"Reserva")</f>
        <v>22</v>
      </c>
      <c r="X18" s="128" t="s">
        <v>99</v>
      </c>
      <c r="Y18" s="127">
        <f>COUNTIF(C3:C98,"Sgt1.")</f>
        <v>1</v>
      </c>
    </row>
    <row r="19" ht="15.75" customHeight="1">
      <c r="A19" s="114">
        <f t="shared" si="1"/>
        <v>4</v>
      </c>
      <c r="B19" s="114">
        <f t="shared" si="2"/>
        <v>9</v>
      </c>
      <c r="C19" s="107" t="s">
        <v>64</v>
      </c>
      <c r="D19" s="115" t="s">
        <v>138</v>
      </c>
      <c r="E19" s="116" t="str">
        <f t="shared" ref="E19:E21" si="6">image("http://www.zrarmy.com/images/mex.jpg", 1)</f>
        <v/>
      </c>
      <c r="F19" s="109" t="s">
        <v>115</v>
      </c>
      <c r="G19" s="115" t="s">
        <v>68</v>
      </c>
      <c r="H19" s="115" t="s">
        <v>24</v>
      </c>
      <c r="I19" s="115" t="s">
        <v>24</v>
      </c>
      <c r="J19" s="115"/>
      <c r="K19" s="115" t="s">
        <v>21</v>
      </c>
      <c r="L19" s="115" t="s">
        <v>21</v>
      </c>
      <c r="M19" s="115"/>
      <c r="N19" s="115" t="s">
        <v>21</v>
      </c>
      <c r="O19" s="115" t="s">
        <v>21</v>
      </c>
      <c r="P19" s="115" t="s">
        <v>58</v>
      </c>
      <c r="Q19" s="115" t="s">
        <v>21</v>
      </c>
      <c r="R19" s="115" t="s">
        <v>21</v>
      </c>
      <c r="S19" s="115" t="s">
        <v>58</v>
      </c>
      <c r="T19" s="118">
        <f t="shared" si="4"/>
        <v>0.875</v>
      </c>
      <c r="U19" s="126" t="s">
        <v>38</v>
      </c>
      <c r="V19" s="127">
        <f>COUNTIF(G3:G98,"Licencia")</f>
        <v>4</v>
      </c>
      <c r="X19" s="128" t="s">
        <v>102</v>
      </c>
      <c r="Y19" s="127">
        <f>COUNTIF(C3:C98,"SgtM.")</f>
        <v>0</v>
      </c>
    </row>
    <row r="20" ht="15.75" customHeight="1">
      <c r="A20" s="114">
        <f t="shared" si="1"/>
        <v>4</v>
      </c>
      <c r="B20" s="114">
        <f t="shared" si="2"/>
        <v>11</v>
      </c>
      <c r="C20" s="107" t="s">
        <v>79</v>
      </c>
      <c r="D20" s="115" t="s">
        <v>221</v>
      </c>
      <c r="E20" s="116" t="str">
        <f t="shared" si="6"/>
        <v/>
      </c>
      <c r="F20" s="109" t="s">
        <v>115</v>
      </c>
      <c r="G20" s="115" t="s">
        <v>68</v>
      </c>
      <c r="H20" s="115" t="s">
        <v>24</v>
      </c>
      <c r="I20" s="115" t="s">
        <v>24</v>
      </c>
      <c r="J20" s="115"/>
      <c r="K20" s="115" t="s">
        <v>33</v>
      </c>
      <c r="L20" s="115" t="s">
        <v>33</v>
      </c>
      <c r="M20" s="115"/>
      <c r="N20" s="115" t="s">
        <v>33</v>
      </c>
      <c r="O20" s="115" t="s">
        <v>33</v>
      </c>
      <c r="P20" s="115"/>
      <c r="Q20" s="115" t="s">
        <v>33</v>
      </c>
      <c r="R20" s="115" t="s">
        <v>33</v>
      </c>
      <c r="S20" s="115"/>
      <c r="T20" s="118">
        <f t="shared" si="4"/>
        <v>0</v>
      </c>
      <c r="X20" s="128" t="s">
        <v>104</v>
      </c>
      <c r="Y20" s="127">
        <f>COUNTIF(C3:C98,"Tte.")</f>
        <v>1</v>
      </c>
    </row>
    <row r="21" ht="15.75" customHeight="1">
      <c r="A21" s="114">
        <v>4.0</v>
      </c>
      <c r="B21" s="114">
        <v>11.0</v>
      </c>
      <c r="C21" s="107" t="s">
        <v>79</v>
      </c>
      <c r="D21" s="115" t="s">
        <v>247</v>
      </c>
      <c r="E21" s="124" t="str">
        <f t="shared" si="6"/>
        <v/>
      </c>
      <c r="F21" s="109" t="s">
        <v>115</v>
      </c>
      <c r="G21" s="115" t="s">
        <v>68</v>
      </c>
      <c r="H21" s="115" t="s">
        <v>21</v>
      </c>
      <c r="I21" s="115" t="s">
        <v>24</v>
      </c>
      <c r="J21" s="115"/>
      <c r="K21" s="115" t="s">
        <v>21</v>
      </c>
      <c r="L21" s="115" t="s">
        <v>21</v>
      </c>
      <c r="M21" s="115"/>
      <c r="N21" s="115" t="s">
        <v>21</v>
      </c>
      <c r="O21" s="115" t="s">
        <v>21</v>
      </c>
      <c r="P21" s="115"/>
      <c r="Q21" s="115" t="s">
        <v>21</v>
      </c>
      <c r="R21" s="115" t="s">
        <v>24</v>
      </c>
      <c r="S21" s="115"/>
      <c r="T21" s="118">
        <f t="shared" si="4"/>
        <v>0.75</v>
      </c>
      <c r="X21" s="128" t="s">
        <v>106</v>
      </c>
      <c r="Y21" s="127">
        <f>COUNTIF(C3:C98,"Alf.")</f>
        <v>1</v>
      </c>
    </row>
    <row r="22" ht="15.75" customHeight="1">
      <c r="A22" s="114">
        <f t="shared" ref="A22:A98" si="7">IF(F22="ALTM",1,IF(F22="1° P",2,IF(F22="1° P - 1°M",3,IF(F22="1° P - 2°M",4,IF(F22="2° P",5,IF(F22="2° P - 3°M",6,IF(F22="2° P - 4°M",7,IF(F22="1° PP",8,IF(F22="1° PP - 1°Pa",9,IF(F22="1° PP - 2°Pa",10,IF(F22="Espectro",11,IF(F22="Caballeria",12,IF(F22="FAZR",13,15)))))))))))))</f>
        <v>4</v>
      </c>
      <c r="B22" s="114">
        <f t="shared" ref="B22:B98" si="8">IF(C22="Cap.",1,IF(C22="Tte.",2,IF(C22="Alf.",3,IF(C22="SgtM.",4,IF(C22="Sgt1.",5,IF(C22="Sgt.",6,IF(C22="Cbo1.",7,IF(C22="Cbo.",8,IF(C22="Dis.",9,IF(C22="Inf.",10,IF(C22="Rct.",11,15)))))))))))</f>
        <v>11</v>
      </c>
      <c r="C22" s="107" t="s">
        <v>79</v>
      </c>
      <c r="D22" s="115" t="s">
        <v>264</v>
      </c>
      <c r="E22" s="124" t="str">
        <f>image("http://www.zrarmy.com/images/chi.jpg", 1)</f>
        <v/>
      </c>
      <c r="F22" s="109" t="s">
        <v>115</v>
      </c>
      <c r="G22" s="115" t="s">
        <v>68</v>
      </c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 t="s">
        <v>24</v>
      </c>
      <c r="S22" s="115"/>
      <c r="T22" s="118">
        <f t="shared" si="4"/>
        <v>0</v>
      </c>
      <c r="X22" s="128" t="s">
        <v>108</v>
      </c>
      <c r="Y22" s="132">
        <f>COUNTIF(C3:C98,"Cap.")</f>
        <v>2</v>
      </c>
    </row>
    <row r="23" ht="15.75" customHeight="1">
      <c r="A23" s="114">
        <f t="shared" si="7"/>
        <v>4</v>
      </c>
      <c r="B23" s="114">
        <f t="shared" si="8"/>
        <v>11</v>
      </c>
      <c r="C23" s="107" t="s">
        <v>79</v>
      </c>
      <c r="D23" s="115" t="s">
        <v>128</v>
      </c>
      <c r="E23" s="116" t="str">
        <f>image("http://www.zrarmy.com/images/arg.png", 1)</f>
        <v/>
      </c>
      <c r="F23" s="109" t="s">
        <v>115</v>
      </c>
      <c r="G23" s="115" t="s">
        <v>85</v>
      </c>
      <c r="H23" s="115" t="s">
        <v>21</v>
      </c>
      <c r="I23" s="115" t="s">
        <v>21</v>
      </c>
      <c r="J23" s="115"/>
      <c r="K23" s="115" t="s">
        <v>21</v>
      </c>
      <c r="L23" s="115" t="s">
        <v>21</v>
      </c>
      <c r="M23" s="115" t="s">
        <v>58</v>
      </c>
      <c r="N23" s="115" t="s">
        <v>21</v>
      </c>
      <c r="O23" s="115" t="s">
        <v>21</v>
      </c>
      <c r="P23" s="115"/>
      <c r="Q23" s="115" t="s">
        <v>21</v>
      </c>
      <c r="R23" s="115" t="s">
        <v>21</v>
      </c>
      <c r="S23" s="115"/>
      <c r="T23" s="118">
        <f t="shared" si="4"/>
        <v>1.0625</v>
      </c>
      <c r="U23" s="133"/>
      <c r="V23" s="4"/>
      <c r="W23" s="134"/>
      <c r="X23" s="106"/>
      <c r="Y23" s="106"/>
    </row>
    <row r="24" ht="15.75" customHeight="1">
      <c r="A24" s="114">
        <f t="shared" si="7"/>
        <v>4</v>
      </c>
      <c r="B24" s="114">
        <f t="shared" si="8"/>
        <v>11</v>
      </c>
      <c r="C24" s="107" t="s">
        <v>79</v>
      </c>
      <c r="D24" s="115" t="s">
        <v>124</v>
      </c>
      <c r="E24" s="135" t="str">
        <f>image("http://www.zrarmy.com/images/sal.jpg", 1)</f>
        <v/>
      </c>
      <c r="F24" s="109" t="s">
        <v>115</v>
      </c>
      <c r="G24" s="115" t="s">
        <v>85</v>
      </c>
      <c r="H24" s="115" t="s">
        <v>21</v>
      </c>
      <c r="I24" s="115" t="s">
        <v>21</v>
      </c>
      <c r="J24" s="115" t="s">
        <v>58</v>
      </c>
      <c r="K24" s="115" t="s">
        <v>24</v>
      </c>
      <c r="L24" s="115" t="s">
        <v>21</v>
      </c>
      <c r="M24" s="115" t="s">
        <v>58</v>
      </c>
      <c r="N24" s="115" t="s">
        <v>21</v>
      </c>
      <c r="O24" s="115" t="s">
        <v>21</v>
      </c>
      <c r="P24" s="115" t="s">
        <v>58</v>
      </c>
      <c r="Q24" s="115" t="s">
        <v>21</v>
      </c>
      <c r="R24" s="115" t="s">
        <v>21</v>
      </c>
      <c r="S24" s="115"/>
      <c r="T24" s="118">
        <f t="shared" si="4"/>
        <v>1.0625</v>
      </c>
      <c r="U24" s="136" t="s">
        <v>167</v>
      </c>
      <c r="V24" s="137"/>
      <c r="W24" s="138"/>
      <c r="X24" s="139" t="s">
        <v>168</v>
      </c>
      <c r="Y24" s="137"/>
    </row>
    <row r="25" ht="15.75" customHeight="1">
      <c r="A25" s="114">
        <f t="shared" si="7"/>
        <v>4</v>
      </c>
      <c r="B25" s="114">
        <f t="shared" si="8"/>
        <v>11</v>
      </c>
      <c r="C25" s="107" t="s">
        <v>79</v>
      </c>
      <c r="D25" s="115" t="s">
        <v>220</v>
      </c>
      <c r="E25" s="116" t="str">
        <f>image("http://www.zrarmy.com/images/chi.jpg", 1)</f>
        <v/>
      </c>
      <c r="F25" s="109" t="s">
        <v>115</v>
      </c>
      <c r="G25" s="115" t="s">
        <v>85</v>
      </c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 t="s">
        <v>21</v>
      </c>
      <c r="S25" s="115"/>
      <c r="T25" s="118">
        <f t="shared" si="4"/>
        <v>0.125</v>
      </c>
      <c r="U25" s="140" t="s">
        <v>9</v>
      </c>
      <c r="V25" s="57"/>
      <c r="W25" s="141" t="s">
        <v>286</v>
      </c>
      <c r="X25" s="141" t="s">
        <v>171</v>
      </c>
      <c r="Y25" s="142" t="s">
        <v>176</v>
      </c>
    </row>
    <row r="26" ht="15.75" customHeight="1">
      <c r="A26" s="114">
        <f t="shared" si="7"/>
        <v>9</v>
      </c>
      <c r="B26" s="114">
        <f t="shared" si="8"/>
        <v>7</v>
      </c>
      <c r="C26" s="107" t="s">
        <v>46</v>
      </c>
      <c r="D26" s="115" t="s">
        <v>157</v>
      </c>
      <c r="E26" s="124" t="str">
        <f>image("http://www.zrarmy.com/images/ven.jpg", 1)</f>
        <v/>
      </c>
      <c r="F26" s="143" t="s">
        <v>158</v>
      </c>
      <c r="G26" s="115" t="s">
        <v>51</v>
      </c>
      <c r="H26" s="115" t="s">
        <v>21</v>
      </c>
      <c r="I26" s="115" t="s">
        <v>21</v>
      </c>
      <c r="J26" s="115" t="s">
        <v>58</v>
      </c>
      <c r="K26" s="115" t="s">
        <v>21</v>
      </c>
      <c r="L26" s="115" t="s">
        <v>21</v>
      </c>
      <c r="M26" s="115" t="s">
        <v>58</v>
      </c>
      <c r="N26" s="115" t="s">
        <v>21</v>
      </c>
      <c r="O26" s="115" t="s">
        <v>21</v>
      </c>
      <c r="P26" s="115" t="s">
        <v>58</v>
      </c>
      <c r="Q26" s="115" t="s">
        <v>21</v>
      </c>
      <c r="R26" s="115" t="s">
        <v>21</v>
      </c>
      <c r="S26" s="115" t="s">
        <v>58</v>
      </c>
      <c r="T26" s="118">
        <f t="shared" si="4"/>
        <v>1.25</v>
      </c>
      <c r="U26" s="144" t="s">
        <v>287</v>
      </c>
      <c r="V26" s="57"/>
      <c r="W26" s="145" t="s">
        <v>183</v>
      </c>
      <c r="X26" s="145" t="s">
        <v>179</v>
      </c>
      <c r="Y26" s="145" t="s">
        <v>179</v>
      </c>
    </row>
    <row r="27" ht="15.75" customHeight="1">
      <c r="A27" s="114">
        <f t="shared" si="7"/>
        <v>9</v>
      </c>
      <c r="B27" s="114">
        <f t="shared" si="8"/>
        <v>8</v>
      </c>
      <c r="C27" s="107" t="s">
        <v>54</v>
      </c>
      <c r="D27" s="115" t="s">
        <v>160</v>
      </c>
      <c r="E27" s="124" t="str">
        <f>image("http://www.zrarmy.com/images/col.jpg", 1)</f>
        <v/>
      </c>
      <c r="F27" s="109" t="s">
        <v>158</v>
      </c>
      <c r="G27" s="115" t="s">
        <v>57</v>
      </c>
      <c r="H27" s="115" t="s">
        <v>21</v>
      </c>
      <c r="I27" s="115" t="s">
        <v>24</v>
      </c>
      <c r="J27" s="115"/>
      <c r="K27" s="115" t="s">
        <v>21</v>
      </c>
      <c r="L27" s="115" t="s">
        <v>21</v>
      </c>
      <c r="M27" s="115"/>
      <c r="N27" s="115" t="s">
        <v>21</v>
      </c>
      <c r="O27" s="115" t="s">
        <v>21</v>
      </c>
      <c r="P27" s="115"/>
      <c r="Q27" s="115" t="s">
        <v>21</v>
      </c>
      <c r="R27" s="115" t="s">
        <v>21</v>
      </c>
      <c r="S27" s="115"/>
      <c r="T27" s="118">
        <f t="shared" si="4"/>
        <v>0.875</v>
      </c>
      <c r="U27" s="144" t="s">
        <v>288</v>
      </c>
      <c r="V27" s="57"/>
      <c r="W27" s="146">
        <v>43228.0</v>
      </c>
      <c r="X27" s="145" t="s">
        <v>183</v>
      </c>
      <c r="Y27" s="145" t="s">
        <v>183</v>
      </c>
    </row>
    <row r="28" ht="15.75" customHeight="1">
      <c r="A28" s="114">
        <f t="shared" si="7"/>
        <v>9</v>
      </c>
      <c r="B28" s="114">
        <f t="shared" si="8"/>
        <v>8</v>
      </c>
      <c r="C28" s="107" t="s">
        <v>54</v>
      </c>
      <c r="D28" s="115" t="s">
        <v>162</v>
      </c>
      <c r="E28" s="116" t="str">
        <f>image("http://www.zrarmy.com/images/per.jpg", 1)</f>
        <v/>
      </c>
      <c r="F28" s="109" t="s">
        <v>158</v>
      </c>
      <c r="G28" s="115" t="s">
        <v>63</v>
      </c>
      <c r="H28" s="115" t="s">
        <v>21</v>
      </c>
      <c r="I28" s="115" t="s">
        <v>21</v>
      </c>
      <c r="J28" s="115"/>
      <c r="K28" s="115" t="s">
        <v>24</v>
      </c>
      <c r="L28" s="115" t="s">
        <v>21</v>
      </c>
      <c r="M28" s="115" t="s">
        <v>58</v>
      </c>
      <c r="N28" s="115" t="s">
        <v>21</v>
      </c>
      <c r="O28" s="115" t="s">
        <v>21</v>
      </c>
      <c r="P28" s="115" t="s">
        <v>58</v>
      </c>
      <c r="Q28" s="115" t="s">
        <v>21</v>
      </c>
      <c r="R28" s="115" t="s">
        <v>21</v>
      </c>
      <c r="S28" s="115" t="s">
        <v>58</v>
      </c>
      <c r="T28" s="118">
        <f t="shared" si="4"/>
        <v>1.0625</v>
      </c>
      <c r="U28" s="144" t="s">
        <v>289</v>
      </c>
      <c r="V28" s="57"/>
      <c r="W28" s="146">
        <v>43242.0</v>
      </c>
      <c r="X28" s="145" t="s">
        <v>179</v>
      </c>
      <c r="Y28" s="145" t="s">
        <v>183</v>
      </c>
    </row>
    <row r="29" ht="15.75" customHeight="1">
      <c r="A29" s="114">
        <f t="shared" si="7"/>
        <v>9</v>
      </c>
      <c r="B29" s="114">
        <f t="shared" si="8"/>
        <v>9</v>
      </c>
      <c r="C29" s="107" t="s">
        <v>64</v>
      </c>
      <c r="D29" s="115" t="s">
        <v>226</v>
      </c>
      <c r="E29" s="116" t="str">
        <f>image("http://www.zrarmy.com/images/pan.jpg", 1)</f>
        <v/>
      </c>
      <c r="F29" s="109" t="s">
        <v>158</v>
      </c>
      <c r="G29" s="115" t="s">
        <v>68</v>
      </c>
      <c r="H29" s="115" t="s">
        <v>21</v>
      </c>
      <c r="I29" s="115" t="s">
        <v>24</v>
      </c>
      <c r="J29" s="115"/>
      <c r="K29" s="115" t="s">
        <v>24</v>
      </c>
      <c r="L29" s="115" t="s">
        <v>24</v>
      </c>
      <c r="M29" s="115"/>
      <c r="N29" s="115" t="s">
        <v>30</v>
      </c>
      <c r="O29" s="115" t="s">
        <v>21</v>
      </c>
      <c r="P29" s="115" t="s">
        <v>58</v>
      </c>
      <c r="Q29" s="115" t="s">
        <v>24</v>
      </c>
      <c r="R29" s="115" t="s">
        <v>30</v>
      </c>
      <c r="S29" s="115"/>
      <c r="T29" s="118">
        <f t="shared" si="4"/>
        <v>0.3125</v>
      </c>
      <c r="U29" s="148" t="s">
        <v>290</v>
      </c>
      <c r="V29" s="57"/>
      <c r="W29" s="149">
        <v>43221.0</v>
      </c>
      <c r="X29" s="145" t="s">
        <v>179</v>
      </c>
      <c r="Y29" s="150" t="s">
        <v>179</v>
      </c>
    </row>
    <row r="30" ht="15.75" customHeight="1">
      <c r="A30" s="114">
        <f t="shared" si="7"/>
        <v>9</v>
      </c>
      <c r="B30" s="114">
        <f t="shared" si="8"/>
        <v>9</v>
      </c>
      <c r="C30" s="107" t="s">
        <v>64</v>
      </c>
      <c r="D30" s="115" t="s">
        <v>175</v>
      </c>
      <c r="E30" s="116" t="str">
        <f>image("http://www.zrarmy.com/images/chi.jpg", 1)</f>
        <v/>
      </c>
      <c r="F30" s="109" t="s">
        <v>158</v>
      </c>
      <c r="G30" s="115" t="s">
        <v>68</v>
      </c>
      <c r="H30" s="115" t="s">
        <v>21</v>
      </c>
      <c r="I30" s="115" t="s">
        <v>21</v>
      </c>
      <c r="J30" s="115" t="s">
        <v>58</v>
      </c>
      <c r="K30" s="115" t="s">
        <v>21</v>
      </c>
      <c r="L30" s="115" t="s">
        <v>21</v>
      </c>
      <c r="M30" s="115"/>
      <c r="N30" s="115" t="s">
        <v>21</v>
      </c>
      <c r="O30" s="115" t="s">
        <v>21</v>
      </c>
      <c r="P30" s="115" t="s">
        <v>58</v>
      </c>
      <c r="Q30" s="115" t="s">
        <v>21</v>
      </c>
      <c r="R30" s="115" t="s">
        <v>21</v>
      </c>
      <c r="S30" s="115" t="s">
        <v>58</v>
      </c>
      <c r="T30" s="118">
        <f t="shared" si="4"/>
        <v>1.1875</v>
      </c>
      <c r="U30" s="144" t="s">
        <v>292</v>
      </c>
      <c r="V30" s="57"/>
      <c r="W30" s="146">
        <v>43244.0</v>
      </c>
      <c r="X30" s="145" t="s">
        <v>182</v>
      </c>
      <c r="Y30" s="145"/>
    </row>
    <row r="31" ht="15.75" customHeight="1">
      <c r="A31" s="114">
        <f t="shared" si="7"/>
        <v>9</v>
      </c>
      <c r="B31" s="114">
        <f t="shared" si="8"/>
        <v>9</v>
      </c>
      <c r="C31" s="107" t="s">
        <v>64</v>
      </c>
      <c r="D31" s="115" t="s">
        <v>208</v>
      </c>
      <c r="E31" s="116" t="str">
        <f>image("http://www.zrarmy.com/images/arg.png", 1)</f>
        <v/>
      </c>
      <c r="F31" s="109" t="s">
        <v>158</v>
      </c>
      <c r="G31" s="115" t="s">
        <v>68</v>
      </c>
      <c r="H31" s="115" t="s">
        <v>24</v>
      </c>
      <c r="I31" s="115" t="s">
        <v>24</v>
      </c>
      <c r="J31" s="115"/>
      <c r="K31" s="115" t="s">
        <v>24</v>
      </c>
      <c r="L31" s="115" t="s">
        <v>21</v>
      </c>
      <c r="M31" s="115"/>
      <c r="N31" s="115" t="s">
        <v>21</v>
      </c>
      <c r="O31" s="115" t="s">
        <v>21</v>
      </c>
      <c r="P31" s="115" t="s">
        <v>58</v>
      </c>
      <c r="Q31" s="115" t="s">
        <v>21</v>
      </c>
      <c r="R31" s="115" t="s">
        <v>21</v>
      </c>
      <c r="S31" s="115"/>
      <c r="T31" s="118">
        <f t="shared" si="4"/>
        <v>0.6875</v>
      </c>
      <c r="U31" s="144"/>
      <c r="V31" s="57"/>
      <c r="W31" s="146"/>
      <c r="X31" s="145"/>
      <c r="Y31" s="145"/>
    </row>
    <row r="32" ht="15.75" customHeight="1">
      <c r="A32" s="114">
        <f t="shared" si="7"/>
        <v>9</v>
      </c>
      <c r="B32" s="114">
        <f t="shared" si="8"/>
        <v>10</v>
      </c>
      <c r="C32" s="107" t="s">
        <v>84</v>
      </c>
      <c r="D32" s="115" t="s">
        <v>164</v>
      </c>
      <c r="E32" s="116" t="str">
        <f>image("http://www.zrarmy.com/images/ven.jpg", 1)</f>
        <v/>
      </c>
      <c r="F32" s="109" t="s">
        <v>158</v>
      </c>
      <c r="G32" s="115" t="s">
        <v>68</v>
      </c>
      <c r="H32" s="115" t="s">
        <v>21</v>
      </c>
      <c r="I32" s="115" t="s">
        <v>21</v>
      </c>
      <c r="J32" s="115"/>
      <c r="K32" s="115" t="s">
        <v>21</v>
      </c>
      <c r="L32" s="115" t="s">
        <v>21</v>
      </c>
      <c r="M32" s="115" t="s">
        <v>58</v>
      </c>
      <c r="N32" s="115" t="s">
        <v>21</v>
      </c>
      <c r="O32" s="115" t="s">
        <v>21</v>
      </c>
      <c r="P32" s="115"/>
      <c r="Q32" s="115" t="s">
        <v>21</v>
      </c>
      <c r="R32" s="115" t="s">
        <v>21</v>
      </c>
      <c r="S32" s="115" t="s">
        <v>58</v>
      </c>
      <c r="T32" s="118">
        <f t="shared" si="4"/>
        <v>1.125</v>
      </c>
      <c r="U32" s="144"/>
      <c r="V32" s="57"/>
      <c r="W32" s="146"/>
      <c r="X32" s="145"/>
      <c r="Y32" s="145"/>
    </row>
    <row r="33" ht="15.75" customHeight="1">
      <c r="A33" s="114">
        <f t="shared" si="7"/>
        <v>9</v>
      </c>
      <c r="B33" s="114">
        <f t="shared" si="8"/>
        <v>10</v>
      </c>
      <c r="C33" s="107" t="s">
        <v>84</v>
      </c>
      <c r="D33" s="115" t="s">
        <v>165</v>
      </c>
      <c r="E33" s="116" t="str">
        <f t="shared" ref="E33:E34" si="9">image("http://www.zrarmy.com/images/arg.png", 1)</f>
        <v/>
      </c>
      <c r="F33" s="109" t="s">
        <v>158</v>
      </c>
      <c r="G33" s="115" t="s">
        <v>85</v>
      </c>
      <c r="H33" s="115" t="s">
        <v>21</v>
      </c>
      <c r="I33" s="115" t="s">
        <v>21</v>
      </c>
      <c r="J33" s="115" t="s">
        <v>58</v>
      </c>
      <c r="K33" s="115" t="s">
        <v>21</v>
      </c>
      <c r="L33" s="115" t="s">
        <v>21</v>
      </c>
      <c r="M33" s="115" t="s">
        <v>58</v>
      </c>
      <c r="N33" s="115" t="s">
        <v>21</v>
      </c>
      <c r="O33" s="115" t="s">
        <v>21</v>
      </c>
      <c r="P33" s="115" t="s">
        <v>58</v>
      </c>
      <c r="Q33" s="115" t="s">
        <v>21</v>
      </c>
      <c r="R33" s="115" t="s">
        <v>21</v>
      </c>
      <c r="S33" s="115" t="s">
        <v>58</v>
      </c>
      <c r="T33" s="118">
        <f t="shared" si="4"/>
        <v>1.25</v>
      </c>
      <c r="U33" s="144"/>
      <c r="V33" s="57"/>
      <c r="W33" s="146"/>
      <c r="X33" s="145"/>
      <c r="Y33" s="145"/>
    </row>
    <row r="34" ht="15.75" customHeight="1">
      <c r="A34" s="114">
        <f t="shared" si="7"/>
        <v>9</v>
      </c>
      <c r="B34" s="114">
        <f t="shared" si="8"/>
        <v>11</v>
      </c>
      <c r="C34" s="107" t="s">
        <v>79</v>
      </c>
      <c r="D34" s="115" t="s">
        <v>177</v>
      </c>
      <c r="E34" s="124" t="str">
        <f t="shared" si="9"/>
        <v/>
      </c>
      <c r="F34" s="109" t="s">
        <v>158</v>
      </c>
      <c r="G34" s="115" t="s">
        <v>85</v>
      </c>
      <c r="H34" s="115" t="s">
        <v>24</v>
      </c>
      <c r="I34" s="115" t="s">
        <v>21</v>
      </c>
      <c r="J34" s="115" t="s">
        <v>58</v>
      </c>
      <c r="K34" s="115" t="s">
        <v>24</v>
      </c>
      <c r="L34" s="115" t="s">
        <v>21</v>
      </c>
      <c r="M34" s="115"/>
      <c r="N34" s="115" t="s">
        <v>21</v>
      </c>
      <c r="O34" s="115" t="s">
        <v>21</v>
      </c>
      <c r="P34" s="115"/>
      <c r="Q34" s="115" t="s">
        <v>21</v>
      </c>
      <c r="R34" s="115" t="s">
        <v>21</v>
      </c>
      <c r="S34" s="115" t="s">
        <v>58</v>
      </c>
      <c r="T34" s="118">
        <f t="shared" si="4"/>
        <v>0.875</v>
      </c>
      <c r="U34" s="144"/>
      <c r="V34" s="57"/>
      <c r="W34" s="146"/>
      <c r="X34" s="145"/>
      <c r="Y34" s="145"/>
    </row>
    <row r="35" ht="15.75" customHeight="1">
      <c r="A35" s="114">
        <f t="shared" si="7"/>
        <v>11</v>
      </c>
      <c r="B35" s="114">
        <f t="shared" si="8"/>
        <v>7</v>
      </c>
      <c r="C35" s="107" t="s">
        <v>46</v>
      </c>
      <c r="D35" s="115" t="s">
        <v>180</v>
      </c>
      <c r="E35" s="124" t="str">
        <f>image("http://www.zrarmy.com/images/pan.jpg", 1)</f>
        <v/>
      </c>
      <c r="F35" s="109" t="s">
        <v>89</v>
      </c>
      <c r="G35" s="115" t="s">
        <v>68</v>
      </c>
      <c r="H35" s="115" t="s">
        <v>30</v>
      </c>
      <c r="I35" s="115" t="s">
        <v>30</v>
      </c>
      <c r="J35" s="115"/>
      <c r="K35" s="115" t="s">
        <v>30</v>
      </c>
      <c r="L35" s="115" t="s">
        <v>30</v>
      </c>
      <c r="M35" s="115"/>
      <c r="N35" s="115" t="s">
        <v>30</v>
      </c>
      <c r="O35" s="115" t="s">
        <v>24</v>
      </c>
      <c r="P35" s="115" t="s">
        <v>58</v>
      </c>
      <c r="Q35" s="115" t="s">
        <v>24</v>
      </c>
      <c r="R35" s="115" t="s">
        <v>33</v>
      </c>
      <c r="S35" s="115"/>
      <c r="T35" s="118">
        <f t="shared" si="4"/>
        <v>0.0625</v>
      </c>
      <c r="U35" s="133"/>
      <c r="V35" s="4"/>
      <c r="W35" s="134"/>
      <c r="X35" s="106"/>
      <c r="Y35" s="106"/>
    </row>
    <row r="36" ht="15.75" customHeight="1">
      <c r="A36" s="114">
        <f t="shared" si="7"/>
        <v>11</v>
      </c>
      <c r="B36" s="114">
        <f t="shared" si="8"/>
        <v>7</v>
      </c>
      <c r="C36" s="107" t="s">
        <v>46</v>
      </c>
      <c r="D36" s="115" t="s">
        <v>185</v>
      </c>
      <c r="E36" s="116" t="str">
        <f>image("http://www.zrarmy.com/images/arg.png", 1)</f>
        <v/>
      </c>
      <c r="F36" s="109" t="s">
        <v>89</v>
      </c>
      <c r="G36" s="115" t="s">
        <v>68</v>
      </c>
      <c r="H36" s="115" t="s">
        <v>21</v>
      </c>
      <c r="I36" s="115" t="s">
        <v>21</v>
      </c>
      <c r="J36" s="115" t="s">
        <v>58</v>
      </c>
      <c r="K36" s="115" t="s">
        <v>21</v>
      </c>
      <c r="L36" s="115" t="s">
        <v>21</v>
      </c>
      <c r="M36" s="115"/>
      <c r="N36" s="115" t="s">
        <v>21</v>
      </c>
      <c r="O36" s="115" t="s">
        <v>21</v>
      </c>
      <c r="P36" s="115" t="s">
        <v>58</v>
      </c>
      <c r="Q36" s="115" t="s">
        <v>21</v>
      </c>
      <c r="R36" s="115" t="s">
        <v>21</v>
      </c>
      <c r="S36" s="115" t="s">
        <v>58</v>
      </c>
      <c r="T36" s="118">
        <f t="shared" si="4"/>
        <v>1.1875</v>
      </c>
      <c r="U36" s="133"/>
      <c r="V36" s="4"/>
      <c r="W36" s="134"/>
      <c r="X36" s="106"/>
      <c r="Y36" s="106"/>
    </row>
    <row r="37" ht="15.75" customHeight="1">
      <c r="A37" s="114">
        <f t="shared" si="7"/>
        <v>11</v>
      </c>
      <c r="B37" s="114">
        <f t="shared" si="8"/>
        <v>9</v>
      </c>
      <c r="C37" s="107" t="s">
        <v>64</v>
      </c>
      <c r="D37" s="115" t="s">
        <v>187</v>
      </c>
      <c r="E37" s="116" t="str">
        <f>image("http://www.zrarmy.com/images/per.jpg", 1)</f>
        <v/>
      </c>
      <c r="F37" s="109" t="s">
        <v>89</v>
      </c>
      <c r="G37" s="115" t="s">
        <v>68</v>
      </c>
      <c r="H37" s="115" t="s">
        <v>21</v>
      </c>
      <c r="I37" s="115" t="s">
        <v>21</v>
      </c>
      <c r="J37" s="115" t="s">
        <v>58</v>
      </c>
      <c r="K37" s="115" t="s">
        <v>24</v>
      </c>
      <c r="L37" s="115" t="s">
        <v>21</v>
      </c>
      <c r="M37" s="115"/>
      <c r="N37" s="115" t="s">
        <v>24</v>
      </c>
      <c r="O37" s="115" t="s">
        <v>21</v>
      </c>
      <c r="P37" s="115"/>
      <c r="Q37" s="115" t="s">
        <v>21</v>
      </c>
      <c r="R37" s="115" t="s">
        <v>24</v>
      </c>
      <c r="S37" s="115"/>
      <c r="T37" s="118">
        <f t="shared" si="4"/>
        <v>0.6875</v>
      </c>
      <c r="U37" s="133"/>
      <c r="V37" s="4"/>
      <c r="W37" s="134"/>
      <c r="X37" s="106"/>
      <c r="Y37" s="106"/>
    </row>
    <row r="38" ht="15.75" customHeight="1">
      <c r="A38" s="114">
        <f t="shared" si="7"/>
        <v>12</v>
      </c>
      <c r="B38" s="114">
        <f t="shared" si="8"/>
        <v>7</v>
      </c>
      <c r="C38" s="107" t="s">
        <v>46</v>
      </c>
      <c r="D38" s="115" t="s">
        <v>196</v>
      </c>
      <c r="E38" s="116" t="str">
        <f>image("http://www.zrarmy.com/images/ven.jpg", 1)</f>
        <v/>
      </c>
      <c r="F38" s="109" t="s">
        <v>92</v>
      </c>
      <c r="G38" s="115" t="s">
        <v>267</v>
      </c>
      <c r="H38" s="115" t="s">
        <v>21</v>
      </c>
      <c r="I38" s="115" t="s">
        <v>21</v>
      </c>
      <c r="J38" s="115" t="s">
        <v>58</v>
      </c>
      <c r="K38" s="115" t="s">
        <v>24</v>
      </c>
      <c r="L38" s="115" t="s">
        <v>21</v>
      </c>
      <c r="M38" s="115"/>
      <c r="N38" s="115" t="s">
        <v>21</v>
      </c>
      <c r="O38" s="115" t="s">
        <v>21</v>
      </c>
      <c r="P38" s="115" t="s">
        <v>58</v>
      </c>
      <c r="Q38" s="115" t="s">
        <v>21</v>
      </c>
      <c r="R38" s="115" t="s">
        <v>21</v>
      </c>
      <c r="S38" s="115"/>
      <c r="T38" s="118">
        <f t="shared" si="4"/>
        <v>1</v>
      </c>
      <c r="U38" s="133"/>
      <c r="V38" s="4"/>
      <c r="W38" s="134"/>
      <c r="X38" s="106"/>
      <c r="Y38" s="106"/>
    </row>
    <row r="39" ht="15.75" customHeight="1">
      <c r="A39" s="114">
        <f t="shared" si="7"/>
        <v>12</v>
      </c>
      <c r="B39" s="114">
        <f t="shared" si="8"/>
        <v>7</v>
      </c>
      <c r="C39" s="107" t="s">
        <v>46</v>
      </c>
      <c r="D39" s="115" t="s">
        <v>190</v>
      </c>
      <c r="E39" s="116" t="str">
        <f>image("http://www.zrarmy.com/images/jp.jpg", 1)</f>
        <v/>
      </c>
      <c r="F39" s="109" t="s">
        <v>92</v>
      </c>
      <c r="G39" s="115" t="s">
        <v>268</v>
      </c>
      <c r="H39" s="115" t="s">
        <v>21</v>
      </c>
      <c r="I39" s="115" t="s">
        <v>21</v>
      </c>
      <c r="J39" s="115" t="s">
        <v>58</v>
      </c>
      <c r="K39" s="115" t="s">
        <v>21</v>
      </c>
      <c r="L39" s="115" t="s">
        <v>21</v>
      </c>
      <c r="M39" s="115"/>
      <c r="N39" s="115" t="s">
        <v>21</v>
      </c>
      <c r="O39" s="115" t="s">
        <v>21</v>
      </c>
      <c r="P39" s="115"/>
      <c r="Q39" s="115" t="s">
        <v>24</v>
      </c>
      <c r="R39" s="115" t="s">
        <v>21</v>
      </c>
      <c r="S39" s="115"/>
      <c r="T39" s="118">
        <f t="shared" si="4"/>
        <v>0.9375</v>
      </c>
      <c r="U39" s="133"/>
      <c r="V39" s="4"/>
      <c r="W39" s="134"/>
      <c r="X39" s="106"/>
      <c r="Y39" s="106"/>
    </row>
    <row r="40" ht="15.75" customHeight="1">
      <c r="A40" s="114">
        <f t="shared" si="7"/>
        <v>12</v>
      </c>
      <c r="B40" s="114">
        <f t="shared" si="8"/>
        <v>8</v>
      </c>
      <c r="C40" s="107" t="s">
        <v>54</v>
      </c>
      <c r="D40" s="115" t="s">
        <v>188</v>
      </c>
      <c r="E40" s="124" t="str">
        <f>image("http://www.zrarmy.com/images/mex.jpg", 1)</f>
        <v/>
      </c>
      <c r="F40" s="109" t="s">
        <v>92</v>
      </c>
      <c r="G40" s="115"/>
      <c r="H40" s="115" t="s">
        <v>21</v>
      </c>
      <c r="I40" s="115" t="s">
        <v>21</v>
      </c>
      <c r="J40" s="115" t="s">
        <v>58</v>
      </c>
      <c r="K40" s="115" t="s">
        <v>21</v>
      </c>
      <c r="L40" s="115" t="s">
        <v>21</v>
      </c>
      <c r="M40" s="115" t="s">
        <v>58</v>
      </c>
      <c r="N40" s="115" t="s">
        <v>21</v>
      </c>
      <c r="O40" s="115" t="s">
        <v>21</v>
      </c>
      <c r="P40" s="115" t="s">
        <v>58</v>
      </c>
      <c r="Q40" s="115" t="s">
        <v>21</v>
      </c>
      <c r="R40" s="115" t="s">
        <v>21</v>
      </c>
      <c r="S40" s="115"/>
      <c r="T40" s="118">
        <f t="shared" si="4"/>
        <v>1.1875</v>
      </c>
      <c r="U40" s="133"/>
      <c r="V40" s="4"/>
      <c r="W40" s="134"/>
      <c r="X40" s="106"/>
      <c r="Y40" s="106"/>
    </row>
    <row r="41" ht="15.75" customHeight="1">
      <c r="A41" s="114">
        <f t="shared" si="7"/>
        <v>12</v>
      </c>
      <c r="B41" s="114">
        <f t="shared" si="8"/>
        <v>10</v>
      </c>
      <c r="C41" s="107" t="s">
        <v>84</v>
      </c>
      <c r="D41" s="115" t="s">
        <v>297</v>
      </c>
      <c r="E41" s="116" t="str">
        <f>image("http://www.zrarmy.com/images/par.jpg", 1)</f>
        <v/>
      </c>
      <c r="F41" s="109" t="s">
        <v>92</v>
      </c>
      <c r="G41" s="115"/>
      <c r="H41" s="115" t="s">
        <v>24</v>
      </c>
      <c r="I41" s="115" t="s">
        <v>21</v>
      </c>
      <c r="J41" s="115" t="s">
        <v>58</v>
      </c>
      <c r="K41" s="115" t="s">
        <v>24</v>
      </c>
      <c r="L41" s="115" t="s">
        <v>24</v>
      </c>
      <c r="M41" s="115"/>
      <c r="N41" s="115" t="s">
        <v>24</v>
      </c>
      <c r="O41" s="115" t="s">
        <v>24</v>
      </c>
      <c r="P41" s="115"/>
      <c r="Q41" s="115" t="s">
        <v>24</v>
      </c>
      <c r="R41" s="115" t="s">
        <v>24</v>
      </c>
      <c r="S41" s="115"/>
      <c r="T41" s="118">
        <f t="shared" si="4"/>
        <v>0.1875</v>
      </c>
      <c r="U41" s="133"/>
      <c r="V41" s="4"/>
      <c r="W41" s="134"/>
      <c r="X41" s="106"/>
      <c r="Y41" s="106"/>
    </row>
    <row r="42" ht="15.75" customHeight="1">
      <c r="A42" s="114">
        <f t="shared" si="7"/>
        <v>12</v>
      </c>
      <c r="B42" s="114">
        <f t="shared" si="8"/>
        <v>10</v>
      </c>
      <c r="C42" s="107" t="s">
        <v>84</v>
      </c>
      <c r="D42" s="115" t="s">
        <v>207</v>
      </c>
      <c r="E42" s="124" t="str">
        <f>image("http://www.zrarmy.com/images/arg.png", 1)</f>
        <v/>
      </c>
      <c r="F42" s="109" t="s">
        <v>92</v>
      </c>
      <c r="G42" s="115"/>
      <c r="H42" s="115" t="s">
        <v>24</v>
      </c>
      <c r="I42" s="115" t="s">
        <v>24</v>
      </c>
      <c r="J42" s="115" t="s">
        <v>58</v>
      </c>
      <c r="K42" s="115" t="s">
        <v>24</v>
      </c>
      <c r="L42" s="115" t="s">
        <v>24</v>
      </c>
      <c r="M42" s="115"/>
      <c r="N42" s="115" t="s">
        <v>24</v>
      </c>
      <c r="O42" s="115" t="s">
        <v>21</v>
      </c>
      <c r="P42" s="115"/>
      <c r="Q42" s="115" t="s">
        <v>21</v>
      </c>
      <c r="R42" s="115" t="s">
        <v>21</v>
      </c>
      <c r="S42" s="115"/>
      <c r="T42" s="118">
        <f t="shared" si="4"/>
        <v>0.4375</v>
      </c>
      <c r="U42" s="133"/>
      <c r="V42" s="4"/>
      <c r="W42" s="134"/>
      <c r="X42" s="106"/>
      <c r="Y42" s="106"/>
    </row>
    <row r="43" ht="15.75" customHeight="1">
      <c r="A43" s="114">
        <f t="shared" si="7"/>
        <v>13</v>
      </c>
      <c r="B43" s="114">
        <f t="shared" si="8"/>
        <v>6</v>
      </c>
      <c r="C43" s="153" t="s">
        <v>113</v>
      </c>
      <c r="D43" s="114" t="s">
        <v>298</v>
      </c>
      <c r="E43" s="116" t="str">
        <f>image("http://www.zrarmy.com/images/ven.jpg", 1)</f>
        <v/>
      </c>
      <c r="F43" s="109" t="s">
        <v>95</v>
      </c>
      <c r="G43" s="115" t="s">
        <v>299</v>
      </c>
      <c r="H43" s="115" t="s">
        <v>24</v>
      </c>
      <c r="I43" s="115" t="s">
        <v>24</v>
      </c>
      <c r="J43" s="115"/>
      <c r="K43" s="115" t="s">
        <v>24</v>
      </c>
      <c r="L43" s="115" t="s">
        <v>24</v>
      </c>
      <c r="M43" s="115"/>
      <c r="N43" s="115" t="s">
        <v>24</v>
      </c>
      <c r="O43" s="115" t="s">
        <v>24</v>
      </c>
      <c r="P43" s="115"/>
      <c r="Q43" s="115" t="s">
        <v>24</v>
      </c>
      <c r="R43" s="115" t="s">
        <v>24</v>
      </c>
      <c r="S43" s="115"/>
      <c r="T43" s="118">
        <f t="shared" si="4"/>
        <v>0</v>
      </c>
      <c r="U43" s="133"/>
      <c r="V43" s="4"/>
      <c r="W43" s="134"/>
      <c r="X43" s="106"/>
      <c r="Y43" s="106"/>
    </row>
    <row r="44" ht="15.75" customHeight="1">
      <c r="A44" s="114">
        <f t="shared" si="7"/>
        <v>13</v>
      </c>
      <c r="B44" s="114">
        <f t="shared" si="8"/>
        <v>9</v>
      </c>
      <c r="C44" s="107" t="s">
        <v>64</v>
      </c>
      <c r="D44" s="115" t="s">
        <v>215</v>
      </c>
      <c r="E44" s="116" t="str">
        <f t="shared" ref="E44:E45" si="10">image("http://www.zrarmy.com/images/arg.png", 1)</f>
        <v/>
      </c>
      <c r="F44" s="117" t="s">
        <v>95</v>
      </c>
      <c r="G44" s="115"/>
      <c r="H44" s="115"/>
      <c r="I44" s="115"/>
      <c r="J44" s="115"/>
      <c r="K44" s="115"/>
      <c r="L44" s="115"/>
      <c r="M44" s="115"/>
      <c r="N44" s="115" t="s">
        <v>21</v>
      </c>
      <c r="O44" s="115" t="s">
        <v>21</v>
      </c>
      <c r="P44" s="115"/>
      <c r="Q44" s="115" t="s">
        <v>24</v>
      </c>
      <c r="R44" s="115" t="s">
        <v>21</v>
      </c>
      <c r="S44" s="115"/>
      <c r="T44" s="118">
        <f t="shared" si="4"/>
        <v>0.375</v>
      </c>
      <c r="U44" s="133"/>
      <c r="V44" s="4"/>
      <c r="W44" s="134"/>
      <c r="X44" s="106"/>
      <c r="Y44" s="106"/>
    </row>
    <row r="45" ht="15.75" customHeight="1">
      <c r="A45" s="114">
        <f t="shared" si="7"/>
        <v>13</v>
      </c>
      <c r="B45" s="114">
        <f t="shared" si="8"/>
        <v>9</v>
      </c>
      <c r="C45" s="107" t="s">
        <v>64</v>
      </c>
      <c r="D45" s="115" t="s">
        <v>75</v>
      </c>
      <c r="E45" s="116" t="str">
        <f t="shared" si="10"/>
        <v/>
      </c>
      <c r="F45" s="109" t="s">
        <v>95</v>
      </c>
      <c r="G45" s="115"/>
      <c r="H45" s="115" t="s">
        <v>21</v>
      </c>
      <c r="I45" s="115" t="s">
        <v>21</v>
      </c>
      <c r="J45" s="115"/>
      <c r="K45" s="115"/>
      <c r="L45" s="115"/>
      <c r="M45" s="115"/>
      <c r="N45" s="115" t="s">
        <v>21</v>
      </c>
      <c r="O45" s="115"/>
      <c r="P45" s="115"/>
      <c r="Q45" s="115" t="s">
        <v>24</v>
      </c>
      <c r="R45" s="115" t="s">
        <v>24</v>
      </c>
      <c r="S45" s="115"/>
      <c r="T45" s="118">
        <f t="shared" si="4"/>
        <v>0.375</v>
      </c>
      <c r="U45" s="133"/>
      <c r="V45" s="4"/>
      <c r="W45" s="134"/>
      <c r="X45" s="106"/>
      <c r="Y45" s="106"/>
    </row>
    <row r="46" ht="15.75" customHeight="1">
      <c r="A46" s="114">
        <f t="shared" si="7"/>
        <v>13</v>
      </c>
      <c r="B46" s="114">
        <f t="shared" si="8"/>
        <v>10</v>
      </c>
      <c r="C46" s="107" t="s">
        <v>84</v>
      </c>
      <c r="D46" s="115" t="s">
        <v>242</v>
      </c>
      <c r="E46" s="116" t="str">
        <f t="shared" ref="E46:E47" si="11">image("http://www.zrarmy.com/images/chi.jpg", 1)</f>
        <v/>
      </c>
      <c r="F46" s="109" t="s">
        <v>95</v>
      </c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 t="s">
        <v>21</v>
      </c>
      <c r="R46" s="115" t="s">
        <v>21</v>
      </c>
      <c r="S46" s="115" t="s">
        <v>58</v>
      </c>
      <c r="T46" s="118">
        <f t="shared" si="4"/>
        <v>0.3125</v>
      </c>
      <c r="U46" s="133"/>
      <c r="V46" s="4"/>
      <c r="W46" s="134"/>
      <c r="X46" s="106"/>
      <c r="Y46" s="106"/>
    </row>
    <row r="47" ht="15.75" customHeight="1">
      <c r="A47" s="114">
        <f t="shared" si="7"/>
        <v>15</v>
      </c>
      <c r="B47" s="114">
        <f t="shared" si="8"/>
        <v>8</v>
      </c>
      <c r="C47" s="107" t="s">
        <v>54</v>
      </c>
      <c r="D47" s="115" t="s">
        <v>105</v>
      </c>
      <c r="E47" s="124" t="str">
        <f t="shared" si="11"/>
        <v/>
      </c>
      <c r="F47" s="109" t="s">
        <v>38</v>
      </c>
      <c r="G47" s="115" t="s">
        <v>38</v>
      </c>
      <c r="H47" s="115" t="s">
        <v>37</v>
      </c>
      <c r="I47" s="115" t="s">
        <v>37</v>
      </c>
      <c r="J47" s="115" t="s">
        <v>37</v>
      </c>
      <c r="K47" s="115" t="s">
        <v>37</v>
      </c>
      <c r="L47" s="115"/>
      <c r="M47" s="115"/>
      <c r="N47" s="115"/>
      <c r="O47" s="115"/>
      <c r="P47" s="115"/>
      <c r="Q47" s="115"/>
      <c r="R47" s="115"/>
      <c r="S47" s="115"/>
      <c r="T47" s="118">
        <f t="shared" si="4"/>
        <v>0</v>
      </c>
      <c r="U47" s="133"/>
      <c r="V47" s="4"/>
      <c r="W47" s="134"/>
      <c r="X47" s="106"/>
      <c r="Y47" s="106"/>
    </row>
    <row r="48" ht="15.75" customHeight="1">
      <c r="A48" s="114">
        <f t="shared" si="7"/>
        <v>15</v>
      </c>
      <c r="B48" s="114">
        <f t="shared" si="8"/>
        <v>8</v>
      </c>
      <c r="C48" s="107" t="s">
        <v>54</v>
      </c>
      <c r="D48" s="115" t="s">
        <v>100</v>
      </c>
      <c r="E48" s="116" t="str">
        <f>image("http://www.zrarmy.com/images/ven.jpg", 1)</f>
        <v/>
      </c>
      <c r="F48" s="109" t="s">
        <v>38</v>
      </c>
      <c r="G48" s="115" t="s">
        <v>38</v>
      </c>
      <c r="H48" s="115" t="s">
        <v>37</v>
      </c>
      <c r="I48" s="115" t="s">
        <v>37</v>
      </c>
      <c r="J48" s="115" t="s">
        <v>37</v>
      </c>
      <c r="K48" s="115" t="s">
        <v>37</v>
      </c>
      <c r="L48" s="115" t="s">
        <v>37</v>
      </c>
      <c r="M48" s="115" t="s">
        <v>37</v>
      </c>
      <c r="N48" s="115" t="s">
        <v>37</v>
      </c>
      <c r="O48" s="115" t="s">
        <v>37</v>
      </c>
      <c r="P48" s="115" t="s">
        <v>37</v>
      </c>
      <c r="Q48" s="115" t="s">
        <v>37</v>
      </c>
      <c r="R48" s="115" t="s">
        <v>37</v>
      </c>
      <c r="S48" s="115"/>
      <c r="T48" s="118">
        <f t="shared" si="4"/>
        <v>0</v>
      </c>
      <c r="U48" s="133"/>
      <c r="V48" s="4"/>
      <c r="W48" s="134"/>
      <c r="X48" s="106"/>
      <c r="Y48" s="106"/>
    </row>
    <row r="49" ht="15.75" customHeight="1">
      <c r="A49" s="114">
        <f t="shared" si="7"/>
        <v>15</v>
      </c>
      <c r="B49" s="114">
        <f t="shared" si="8"/>
        <v>10</v>
      </c>
      <c r="C49" s="107" t="s">
        <v>84</v>
      </c>
      <c r="D49" s="115" t="s">
        <v>55</v>
      </c>
      <c r="E49" s="124" t="str">
        <f>image("http://www.zrarmy.com/images/chi.jpg", 1)</f>
        <v/>
      </c>
      <c r="F49" s="109" t="s">
        <v>38</v>
      </c>
      <c r="G49" s="115" t="s">
        <v>38</v>
      </c>
      <c r="H49" s="115" t="s">
        <v>21</v>
      </c>
      <c r="I49" s="115" t="s">
        <v>21</v>
      </c>
      <c r="J49" s="115"/>
      <c r="K49" s="115" t="s">
        <v>21</v>
      </c>
      <c r="L49" s="115" t="s">
        <v>21</v>
      </c>
      <c r="M49" s="115" t="s">
        <v>58</v>
      </c>
      <c r="N49" s="115" t="s">
        <v>21</v>
      </c>
      <c r="O49" s="115" t="s">
        <v>21</v>
      </c>
      <c r="P49" s="115"/>
      <c r="Q49" s="115" t="s">
        <v>21</v>
      </c>
      <c r="R49" s="115" t="s">
        <v>21</v>
      </c>
      <c r="S49" s="115"/>
      <c r="T49" s="118">
        <f t="shared" si="4"/>
        <v>1.0625</v>
      </c>
      <c r="U49" s="133"/>
      <c r="V49" s="4"/>
      <c r="W49" s="134"/>
      <c r="X49" s="106"/>
      <c r="Y49" s="106"/>
    </row>
    <row r="50" ht="15.75" customHeight="1">
      <c r="A50" s="114">
        <f t="shared" si="7"/>
        <v>15</v>
      </c>
      <c r="B50" s="114">
        <f t="shared" si="8"/>
        <v>11</v>
      </c>
      <c r="C50" s="107" t="s">
        <v>79</v>
      </c>
      <c r="D50" s="115" t="s">
        <v>88</v>
      </c>
      <c r="E50" s="116" t="str">
        <f>image("http://www.zrarmy.com/images/mex.jpg", 1)</f>
        <v/>
      </c>
      <c r="F50" s="109" t="s">
        <v>38</v>
      </c>
      <c r="G50" s="115" t="s">
        <v>38</v>
      </c>
      <c r="H50" s="115" t="s">
        <v>21</v>
      </c>
      <c r="I50" s="115" t="s">
        <v>21</v>
      </c>
      <c r="J50" s="115"/>
      <c r="K50" s="115" t="s">
        <v>24</v>
      </c>
      <c r="L50" s="115" t="s">
        <v>24</v>
      </c>
      <c r="M50" s="115"/>
      <c r="N50" s="115" t="s">
        <v>24</v>
      </c>
      <c r="O50" s="115" t="s">
        <v>24</v>
      </c>
      <c r="P50" s="115"/>
      <c r="Q50" s="115" t="s">
        <v>37</v>
      </c>
      <c r="R50" s="115" t="s">
        <v>37</v>
      </c>
      <c r="S50" s="115"/>
      <c r="T50" s="118">
        <f t="shared" si="4"/>
        <v>0.25</v>
      </c>
      <c r="U50" s="133"/>
      <c r="V50" s="4"/>
      <c r="W50" s="134"/>
      <c r="X50" s="106"/>
      <c r="Y50" s="106"/>
    </row>
    <row r="51" ht="15.75" customHeight="1">
      <c r="A51" s="114">
        <f t="shared" si="7"/>
        <v>15</v>
      </c>
      <c r="B51" s="114">
        <f t="shared" si="8"/>
        <v>6</v>
      </c>
      <c r="C51" s="107" t="s">
        <v>113</v>
      </c>
      <c r="D51" s="115" t="s">
        <v>169</v>
      </c>
      <c r="E51" s="116" t="str">
        <f>image("http://www.zrarmy.com/images/ven.jpg", 1)</f>
        <v/>
      </c>
      <c r="F51" s="109" t="s">
        <v>101</v>
      </c>
      <c r="G51" s="115" t="s">
        <v>101</v>
      </c>
      <c r="H51" s="115" t="s">
        <v>30</v>
      </c>
      <c r="I51" s="115" t="s">
        <v>30</v>
      </c>
      <c r="J51" s="115" t="s">
        <v>30</v>
      </c>
      <c r="K51" s="115" t="s">
        <v>30</v>
      </c>
      <c r="L51" s="115" t="s">
        <v>30</v>
      </c>
      <c r="M51" s="115" t="s">
        <v>30</v>
      </c>
      <c r="N51" s="115" t="s">
        <v>30</v>
      </c>
      <c r="O51" s="115" t="s">
        <v>30</v>
      </c>
      <c r="P51" s="115" t="s">
        <v>30</v>
      </c>
      <c r="Q51" s="115" t="s">
        <v>30</v>
      </c>
      <c r="R51" s="115" t="s">
        <v>30</v>
      </c>
      <c r="S51" s="115"/>
      <c r="T51" s="118">
        <f t="shared" si="4"/>
        <v>0</v>
      </c>
      <c r="U51" s="133"/>
      <c r="V51" s="4"/>
      <c r="W51" s="134"/>
      <c r="X51" s="106"/>
      <c r="Y51" s="106"/>
    </row>
    <row r="52" ht="15.75" customHeight="1">
      <c r="A52" s="114">
        <f t="shared" si="7"/>
        <v>15</v>
      </c>
      <c r="B52" s="114">
        <f t="shared" si="8"/>
        <v>7</v>
      </c>
      <c r="C52" s="153" t="s">
        <v>46</v>
      </c>
      <c r="D52" s="115" t="s">
        <v>272</v>
      </c>
      <c r="E52" s="116" t="str">
        <f>image("http://www.zrarmy.com/images/pan.jpg", 1)</f>
        <v/>
      </c>
      <c r="F52" s="109" t="s">
        <v>101</v>
      </c>
      <c r="G52" s="115" t="s">
        <v>101</v>
      </c>
      <c r="H52" s="115" t="s">
        <v>30</v>
      </c>
      <c r="I52" s="115" t="s">
        <v>30</v>
      </c>
      <c r="J52" s="115" t="s">
        <v>30</v>
      </c>
      <c r="K52" s="115" t="s">
        <v>30</v>
      </c>
      <c r="L52" s="115" t="s">
        <v>30</v>
      </c>
      <c r="M52" s="115" t="s">
        <v>30</v>
      </c>
      <c r="N52" s="115" t="s">
        <v>30</v>
      </c>
      <c r="O52" s="115" t="s">
        <v>30</v>
      </c>
      <c r="P52" s="115" t="s">
        <v>30</v>
      </c>
      <c r="Q52" s="115" t="s">
        <v>30</v>
      </c>
      <c r="R52" s="115" t="s">
        <v>30</v>
      </c>
      <c r="S52" s="115"/>
      <c r="T52" s="118">
        <f t="shared" si="4"/>
        <v>0</v>
      </c>
      <c r="U52" s="133"/>
      <c r="V52" s="4"/>
      <c r="W52" s="134"/>
      <c r="X52" s="106"/>
      <c r="Y52" s="106"/>
    </row>
    <row r="53" ht="15.75" customHeight="1">
      <c r="A53" s="114">
        <f t="shared" si="7"/>
        <v>15</v>
      </c>
      <c r="B53" s="114">
        <f t="shared" si="8"/>
        <v>7</v>
      </c>
      <c r="C53" s="107" t="s">
        <v>46</v>
      </c>
      <c r="D53" s="115" t="s">
        <v>173</v>
      </c>
      <c r="E53" s="124" t="str">
        <f>image("http://www.zrarmy.com/images/ven.jpg", 1)</f>
        <v/>
      </c>
      <c r="F53" s="109" t="s">
        <v>101</v>
      </c>
      <c r="G53" s="115" t="s">
        <v>101</v>
      </c>
      <c r="H53" s="115" t="s">
        <v>30</v>
      </c>
      <c r="I53" s="115" t="s">
        <v>30</v>
      </c>
      <c r="J53" s="115" t="s">
        <v>30</v>
      </c>
      <c r="K53" s="115" t="s">
        <v>30</v>
      </c>
      <c r="L53" s="115" t="s">
        <v>30</v>
      </c>
      <c r="M53" s="115" t="s">
        <v>30</v>
      </c>
      <c r="N53" s="115" t="s">
        <v>30</v>
      </c>
      <c r="O53" s="115" t="s">
        <v>30</v>
      </c>
      <c r="P53" s="115" t="s">
        <v>30</v>
      </c>
      <c r="Q53" s="115" t="s">
        <v>30</v>
      </c>
      <c r="R53" s="115" t="s">
        <v>30</v>
      </c>
      <c r="S53" s="115"/>
      <c r="T53" s="118">
        <f t="shared" si="4"/>
        <v>0</v>
      </c>
      <c r="U53" s="133"/>
      <c r="V53" s="4"/>
      <c r="W53" s="134"/>
      <c r="X53" s="106"/>
      <c r="Y53" s="106"/>
    </row>
    <row r="54" ht="15.75" customHeight="1">
      <c r="A54" s="114">
        <f t="shared" si="7"/>
        <v>15</v>
      </c>
      <c r="B54" s="114">
        <f t="shared" si="8"/>
        <v>8</v>
      </c>
      <c r="C54" s="107" t="s">
        <v>54</v>
      </c>
      <c r="D54" s="115" t="s">
        <v>193</v>
      </c>
      <c r="E54" s="116" t="str">
        <f>image("http://www.zrarmy.com/images/chi.jpg", 1)</f>
        <v/>
      </c>
      <c r="F54" s="109" t="s">
        <v>101</v>
      </c>
      <c r="G54" s="115" t="s">
        <v>101</v>
      </c>
      <c r="H54" s="115" t="s">
        <v>30</v>
      </c>
      <c r="I54" s="115" t="s">
        <v>30</v>
      </c>
      <c r="J54" s="115" t="s">
        <v>30</v>
      </c>
      <c r="K54" s="115" t="s">
        <v>30</v>
      </c>
      <c r="L54" s="115" t="s">
        <v>30</v>
      </c>
      <c r="M54" s="115" t="s">
        <v>30</v>
      </c>
      <c r="N54" s="115" t="s">
        <v>30</v>
      </c>
      <c r="O54" s="115" t="s">
        <v>30</v>
      </c>
      <c r="P54" s="115" t="s">
        <v>30</v>
      </c>
      <c r="Q54" s="115" t="s">
        <v>30</v>
      </c>
      <c r="R54" s="115" t="s">
        <v>30</v>
      </c>
      <c r="S54" s="115"/>
      <c r="T54" s="118">
        <f t="shared" si="4"/>
        <v>0</v>
      </c>
      <c r="U54" s="133"/>
      <c r="V54" s="4"/>
      <c r="W54" s="134"/>
      <c r="X54" s="106"/>
      <c r="Y54" s="106"/>
    </row>
    <row r="55" ht="15.75" customHeight="1">
      <c r="A55" s="114">
        <f t="shared" si="7"/>
        <v>15</v>
      </c>
      <c r="B55" s="114">
        <f t="shared" si="8"/>
        <v>8</v>
      </c>
      <c r="C55" s="107" t="s">
        <v>54</v>
      </c>
      <c r="D55" s="115" t="s">
        <v>103</v>
      </c>
      <c r="E55" s="116" t="str">
        <f>image("http://www.zrarmy.com/images/pan.jpg", 1)</f>
        <v/>
      </c>
      <c r="F55" s="109" t="s">
        <v>101</v>
      </c>
      <c r="G55" s="115" t="s">
        <v>101</v>
      </c>
      <c r="H55" s="115" t="s">
        <v>30</v>
      </c>
      <c r="I55" s="115" t="s">
        <v>30</v>
      </c>
      <c r="J55" s="115" t="s">
        <v>30</v>
      </c>
      <c r="K55" s="115" t="s">
        <v>30</v>
      </c>
      <c r="L55" s="115" t="s">
        <v>30</v>
      </c>
      <c r="M55" s="115" t="s">
        <v>30</v>
      </c>
      <c r="N55" s="115" t="s">
        <v>30</v>
      </c>
      <c r="O55" s="115" t="s">
        <v>30</v>
      </c>
      <c r="P55" s="115" t="s">
        <v>30</v>
      </c>
      <c r="Q55" s="115" t="s">
        <v>30</v>
      </c>
      <c r="R55" s="115" t="s">
        <v>30</v>
      </c>
      <c r="S55" s="115"/>
      <c r="T55" s="118">
        <f t="shared" si="4"/>
        <v>0</v>
      </c>
      <c r="U55" s="133"/>
      <c r="V55" s="4"/>
      <c r="W55" s="134"/>
      <c r="X55" s="106"/>
      <c r="Y55" s="106"/>
    </row>
    <row r="56" ht="15.75" customHeight="1">
      <c r="A56" s="114">
        <f t="shared" si="7"/>
        <v>15</v>
      </c>
      <c r="B56" s="114">
        <f t="shared" si="8"/>
        <v>9</v>
      </c>
      <c r="C56" s="107" t="s">
        <v>64</v>
      </c>
      <c r="D56" s="115" t="s">
        <v>107</v>
      </c>
      <c r="E56" s="116" t="str">
        <f>image("http://www.zrarmy.com/images/ven.jpg", 1)</f>
        <v/>
      </c>
      <c r="F56" s="109" t="s">
        <v>101</v>
      </c>
      <c r="G56" s="115" t="s">
        <v>101</v>
      </c>
      <c r="H56" s="115" t="s">
        <v>30</v>
      </c>
      <c r="I56" s="115" t="s">
        <v>30</v>
      </c>
      <c r="J56" s="115" t="s">
        <v>30</v>
      </c>
      <c r="K56" s="115" t="s">
        <v>30</v>
      </c>
      <c r="L56" s="115" t="s">
        <v>30</v>
      </c>
      <c r="M56" s="115" t="s">
        <v>30</v>
      </c>
      <c r="N56" s="115" t="s">
        <v>30</v>
      </c>
      <c r="O56" s="115" t="s">
        <v>30</v>
      </c>
      <c r="P56" s="115" t="s">
        <v>30</v>
      </c>
      <c r="Q56" s="115" t="s">
        <v>30</v>
      </c>
      <c r="R56" s="115" t="s">
        <v>30</v>
      </c>
      <c r="S56" s="115"/>
      <c r="T56" s="118">
        <f t="shared" si="4"/>
        <v>0</v>
      </c>
      <c r="U56" s="133"/>
      <c r="V56" s="4"/>
      <c r="W56" s="134"/>
      <c r="X56" s="106"/>
      <c r="Y56" s="106"/>
    </row>
    <row r="57" ht="15.75" customHeight="1">
      <c r="A57" s="114">
        <f t="shared" si="7"/>
        <v>15</v>
      </c>
      <c r="B57" s="114">
        <f t="shared" si="8"/>
        <v>9</v>
      </c>
      <c r="C57" s="107" t="s">
        <v>64</v>
      </c>
      <c r="D57" s="115" t="s">
        <v>248</v>
      </c>
      <c r="E57" s="116" t="str">
        <f>image("http://www.zrarmy.com/images/pan.jpg", 1)</f>
        <v/>
      </c>
      <c r="F57" s="109" t="s">
        <v>101</v>
      </c>
      <c r="G57" s="115" t="s">
        <v>101</v>
      </c>
      <c r="H57" s="115" t="s">
        <v>30</v>
      </c>
      <c r="I57" s="115" t="s">
        <v>30</v>
      </c>
      <c r="J57" s="115" t="s">
        <v>30</v>
      </c>
      <c r="K57" s="115" t="s">
        <v>30</v>
      </c>
      <c r="L57" s="115" t="s">
        <v>30</v>
      </c>
      <c r="M57" s="115" t="s">
        <v>30</v>
      </c>
      <c r="N57" s="115" t="s">
        <v>30</v>
      </c>
      <c r="O57" s="115" t="s">
        <v>30</v>
      </c>
      <c r="P57" s="115" t="s">
        <v>30</v>
      </c>
      <c r="Q57" s="115" t="s">
        <v>30</v>
      </c>
      <c r="R57" s="115" t="s">
        <v>30</v>
      </c>
      <c r="S57" s="115"/>
      <c r="T57" s="118">
        <f t="shared" si="4"/>
        <v>0</v>
      </c>
      <c r="U57" s="133"/>
      <c r="V57" s="4"/>
      <c r="W57" s="134"/>
      <c r="X57" s="106"/>
      <c r="Y57" s="106"/>
    </row>
    <row r="58" ht="15.75" customHeight="1">
      <c r="A58" s="114">
        <f t="shared" si="7"/>
        <v>15</v>
      </c>
      <c r="B58" s="114">
        <f t="shared" si="8"/>
        <v>9</v>
      </c>
      <c r="C58" s="107" t="s">
        <v>64</v>
      </c>
      <c r="D58" s="115" t="s">
        <v>60</v>
      </c>
      <c r="E58" s="116" t="str">
        <f>image("http://www.zrarmy.com/images/mex.jpg", 1)</f>
        <v/>
      </c>
      <c r="F58" s="109" t="s">
        <v>101</v>
      </c>
      <c r="G58" s="115" t="s">
        <v>101</v>
      </c>
      <c r="H58" s="115" t="s">
        <v>30</v>
      </c>
      <c r="I58" s="115" t="s">
        <v>30</v>
      </c>
      <c r="J58" s="115" t="s">
        <v>30</v>
      </c>
      <c r="K58" s="115" t="s">
        <v>30</v>
      </c>
      <c r="L58" s="115" t="s">
        <v>30</v>
      </c>
      <c r="M58" s="115" t="s">
        <v>30</v>
      </c>
      <c r="N58" s="115" t="s">
        <v>30</v>
      </c>
      <c r="O58" s="115" t="s">
        <v>30</v>
      </c>
      <c r="P58" s="115" t="s">
        <v>30</v>
      </c>
      <c r="Q58" s="115" t="s">
        <v>30</v>
      </c>
      <c r="R58" s="115" t="s">
        <v>30</v>
      </c>
      <c r="S58" s="115" t="s">
        <v>58</v>
      </c>
      <c r="T58" s="118">
        <f t="shared" si="4"/>
        <v>0.0625</v>
      </c>
      <c r="U58" s="133"/>
      <c r="V58" s="4"/>
      <c r="W58" s="134"/>
      <c r="X58" s="106"/>
      <c r="Y58" s="106"/>
    </row>
    <row r="59" ht="15.75" customHeight="1">
      <c r="A59" s="114">
        <f t="shared" si="7"/>
        <v>15</v>
      </c>
      <c r="B59" s="114">
        <f t="shared" si="8"/>
        <v>9</v>
      </c>
      <c r="C59" s="107" t="s">
        <v>64</v>
      </c>
      <c r="D59" s="115" t="s">
        <v>217</v>
      </c>
      <c r="E59" s="116" t="str">
        <f>image("http://www.zrarmy.com/images/arg.png", 1)</f>
        <v/>
      </c>
      <c r="F59" s="109" t="s">
        <v>101</v>
      </c>
      <c r="G59" s="115" t="s">
        <v>101</v>
      </c>
      <c r="H59" s="115" t="s">
        <v>24</v>
      </c>
      <c r="I59" s="115" t="s">
        <v>24</v>
      </c>
      <c r="J59" s="115"/>
      <c r="K59" s="115" t="s">
        <v>33</v>
      </c>
      <c r="L59" s="115" t="s">
        <v>30</v>
      </c>
      <c r="M59" s="115" t="s">
        <v>30</v>
      </c>
      <c r="N59" s="115" t="s">
        <v>30</v>
      </c>
      <c r="O59" s="115" t="s">
        <v>30</v>
      </c>
      <c r="P59" s="115" t="s">
        <v>30</v>
      </c>
      <c r="Q59" s="115" t="s">
        <v>30</v>
      </c>
      <c r="R59" s="115" t="s">
        <v>30</v>
      </c>
      <c r="S59" s="115"/>
      <c r="T59" s="118">
        <f t="shared" si="4"/>
        <v>0</v>
      </c>
      <c r="U59" s="133"/>
      <c r="V59" s="4"/>
      <c r="W59" s="134"/>
      <c r="X59" s="106"/>
      <c r="Y59" s="106"/>
    </row>
    <row r="60" ht="15.75" customHeight="1">
      <c r="A60" s="114">
        <f t="shared" si="7"/>
        <v>15</v>
      </c>
      <c r="B60" s="114">
        <f t="shared" si="8"/>
        <v>9</v>
      </c>
      <c r="C60" s="107" t="s">
        <v>64</v>
      </c>
      <c r="D60" s="115" t="s">
        <v>83</v>
      </c>
      <c r="E60" s="116" t="str">
        <f>image("http://www.zrarmy.com/images/chi.jpg", 1)</f>
        <v/>
      </c>
      <c r="F60" s="109" t="s">
        <v>101</v>
      </c>
      <c r="G60" s="115" t="s">
        <v>101</v>
      </c>
      <c r="H60" s="115" t="s">
        <v>21</v>
      </c>
      <c r="I60" s="115" t="s">
        <v>21</v>
      </c>
      <c r="J60" s="115" t="s">
        <v>30</v>
      </c>
      <c r="K60" s="115" t="s">
        <v>30</v>
      </c>
      <c r="L60" s="115" t="s">
        <v>30</v>
      </c>
      <c r="M60" s="115" t="s">
        <v>30</v>
      </c>
      <c r="N60" s="115" t="s">
        <v>30</v>
      </c>
      <c r="O60" s="115" t="s">
        <v>30</v>
      </c>
      <c r="P60" s="115" t="s">
        <v>30</v>
      </c>
      <c r="Q60" s="115" t="s">
        <v>30</v>
      </c>
      <c r="R60" s="115" t="s">
        <v>30</v>
      </c>
      <c r="S60" s="115"/>
      <c r="T60" s="118">
        <f t="shared" si="4"/>
        <v>0.25</v>
      </c>
      <c r="U60" s="133"/>
      <c r="V60" s="4"/>
      <c r="W60" s="134"/>
      <c r="X60" s="106"/>
      <c r="Y60" s="106"/>
    </row>
    <row r="61" ht="15.75" customHeight="1">
      <c r="A61" s="114">
        <f t="shared" si="7"/>
        <v>15</v>
      </c>
      <c r="B61" s="114">
        <f t="shared" si="8"/>
        <v>10</v>
      </c>
      <c r="C61" s="107" t="s">
        <v>84</v>
      </c>
      <c r="D61" s="115" t="s">
        <v>228</v>
      </c>
      <c r="E61" s="116" t="str">
        <f t="shared" ref="E61:E62" si="12">image("http://www.zrarmy.com/images/arg.png", 1)</f>
        <v/>
      </c>
      <c r="F61" s="109" t="s">
        <v>101</v>
      </c>
      <c r="G61" s="115" t="s">
        <v>101</v>
      </c>
      <c r="H61" s="115" t="s">
        <v>30</v>
      </c>
      <c r="I61" s="115" t="s">
        <v>30</v>
      </c>
      <c r="J61" s="115" t="s">
        <v>30</v>
      </c>
      <c r="K61" s="115" t="s">
        <v>30</v>
      </c>
      <c r="L61" s="115" t="s">
        <v>30</v>
      </c>
      <c r="M61" s="115" t="s">
        <v>30</v>
      </c>
      <c r="N61" s="115" t="s">
        <v>30</v>
      </c>
      <c r="O61" s="115" t="s">
        <v>30</v>
      </c>
      <c r="P61" s="115" t="s">
        <v>30</v>
      </c>
      <c r="Q61" s="115" t="s">
        <v>30</v>
      </c>
      <c r="R61" s="115" t="s">
        <v>30</v>
      </c>
      <c r="S61" s="115"/>
      <c r="T61" s="118">
        <f t="shared" si="4"/>
        <v>0</v>
      </c>
      <c r="U61" s="133"/>
      <c r="V61" s="4"/>
      <c r="W61" s="134"/>
      <c r="X61" s="106"/>
      <c r="Y61" s="106"/>
    </row>
    <row r="62" ht="15.75" customHeight="1">
      <c r="A62" s="114">
        <f t="shared" si="7"/>
        <v>15</v>
      </c>
      <c r="B62" s="114">
        <f t="shared" si="8"/>
        <v>10</v>
      </c>
      <c r="C62" s="107" t="s">
        <v>84</v>
      </c>
      <c r="D62" s="115" t="s">
        <v>302</v>
      </c>
      <c r="E62" s="116" t="str">
        <f t="shared" si="12"/>
        <v/>
      </c>
      <c r="F62" s="109" t="s">
        <v>101</v>
      </c>
      <c r="G62" s="115" t="s">
        <v>101</v>
      </c>
      <c r="H62" s="115" t="s">
        <v>30</v>
      </c>
      <c r="I62" s="115" t="s">
        <v>30</v>
      </c>
      <c r="J62" s="115" t="s">
        <v>30</v>
      </c>
      <c r="K62" s="115" t="s">
        <v>30</v>
      </c>
      <c r="L62" s="115" t="s">
        <v>30</v>
      </c>
      <c r="M62" s="115" t="s">
        <v>30</v>
      </c>
      <c r="N62" s="115" t="s">
        <v>30</v>
      </c>
      <c r="O62" s="115" t="s">
        <v>30</v>
      </c>
      <c r="P62" s="115" t="s">
        <v>30</v>
      </c>
      <c r="Q62" s="115" t="s">
        <v>30</v>
      </c>
      <c r="R62" s="115" t="s">
        <v>30</v>
      </c>
      <c r="S62" s="115"/>
      <c r="T62" s="118">
        <f t="shared" si="4"/>
        <v>0</v>
      </c>
      <c r="U62" s="133"/>
      <c r="V62" s="4"/>
      <c r="W62" s="134"/>
      <c r="X62" s="106"/>
      <c r="Y62" s="106"/>
    </row>
    <row r="63" ht="15.75" customHeight="1">
      <c r="A63" s="114">
        <f t="shared" si="7"/>
        <v>15</v>
      </c>
      <c r="B63" s="114">
        <f t="shared" si="8"/>
        <v>10</v>
      </c>
      <c r="C63" s="107" t="s">
        <v>84</v>
      </c>
      <c r="D63" s="115" t="s">
        <v>303</v>
      </c>
      <c r="E63" s="124" t="str">
        <f>image("http://www.zrarmy.com/images/chi.jpg", 1)</f>
        <v/>
      </c>
      <c r="F63" s="109" t="s">
        <v>101</v>
      </c>
      <c r="G63" s="115" t="s">
        <v>101</v>
      </c>
      <c r="H63" s="115" t="s">
        <v>30</v>
      </c>
      <c r="I63" s="115" t="s">
        <v>30</v>
      </c>
      <c r="J63" s="115" t="s">
        <v>30</v>
      </c>
      <c r="K63" s="115" t="s">
        <v>30</v>
      </c>
      <c r="L63" s="115" t="s">
        <v>30</v>
      </c>
      <c r="M63" s="115" t="s">
        <v>30</v>
      </c>
      <c r="N63" s="115" t="s">
        <v>30</v>
      </c>
      <c r="O63" s="115" t="s">
        <v>30</v>
      </c>
      <c r="P63" s="115" t="s">
        <v>30</v>
      </c>
      <c r="Q63" s="115" t="s">
        <v>30</v>
      </c>
      <c r="R63" s="115" t="s">
        <v>30</v>
      </c>
      <c r="S63" s="115"/>
      <c r="T63" s="118">
        <f t="shared" si="4"/>
        <v>0</v>
      </c>
      <c r="U63" s="133"/>
      <c r="V63" s="4"/>
      <c r="W63" s="134"/>
      <c r="X63" s="106"/>
      <c r="Y63" s="106"/>
    </row>
    <row r="64" ht="15.75" customHeight="1">
      <c r="A64" s="114">
        <f t="shared" si="7"/>
        <v>15</v>
      </c>
      <c r="B64" s="114">
        <f t="shared" si="8"/>
        <v>10</v>
      </c>
      <c r="C64" s="107" t="s">
        <v>84</v>
      </c>
      <c r="D64" s="115" t="s">
        <v>304</v>
      </c>
      <c r="E64" s="116" t="str">
        <f>image("http://www.zrarmy.com/images/mex.jpg", 1)</f>
        <v/>
      </c>
      <c r="F64" s="109" t="s">
        <v>101</v>
      </c>
      <c r="G64" s="115" t="s">
        <v>101</v>
      </c>
      <c r="H64" s="115" t="s">
        <v>30</v>
      </c>
      <c r="I64" s="115" t="s">
        <v>30</v>
      </c>
      <c r="J64" s="115" t="s">
        <v>30</v>
      </c>
      <c r="K64" s="115" t="s">
        <v>30</v>
      </c>
      <c r="L64" s="115" t="s">
        <v>30</v>
      </c>
      <c r="M64" s="115" t="s">
        <v>30</v>
      </c>
      <c r="N64" s="115" t="s">
        <v>30</v>
      </c>
      <c r="O64" s="115" t="s">
        <v>30</v>
      </c>
      <c r="P64" s="115" t="s">
        <v>30</v>
      </c>
      <c r="Q64" s="115" t="s">
        <v>30</v>
      </c>
      <c r="R64" s="115" t="s">
        <v>30</v>
      </c>
      <c r="S64" s="115"/>
      <c r="T64" s="118">
        <f t="shared" si="4"/>
        <v>0</v>
      </c>
      <c r="U64" s="133"/>
      <c r="V64" s="4"/>
      <c r="W64" s="134"/>
      <c r="X64" s="106"/>
      <c r="Y64" s="106"/>
    </row>
    <row r="65" ht="15.75" customHeight="1">
      <c r="A65" s="114">
        <f t="shared" si="7"/>
        <v>15</v>
      </c>
      <c r="B65" s="114">
        <f t="shared" si="8"/>
        <v>11</v>
      </c>
      <c r="C65" s="107" t="s">
        <v>79</v>
      </c>
      <c r="D65" s="115" t="s">
        <v>111</v>
      </c>
      <c r="E65" s="116" t="str">
        <f>image("http://www.zrarmy.com/images/usa.jpg", 1)</f>
        <v/>
      </c>
      <c r="F65" s="109" t="s">
        <v>101</v>
      </c>
      <c r="G65" s="115" t="s">
        <v>101</v>
      </c>
      <c r="H65" s="115" t="s">
        <v>24</v>
      </c>
      <c r="I65" s="115" t="s">
        <v>24</v>
      </c>
      <c r="J65" s="115"/>
      <c r="K65" s="115" t="s">
        <v>24</v>
      </c>
      <c r="L65" s="115" t="s">
        <v>24</v>
      </c>
      <c r="M65" s="115"/>
      <c r="N65" s="115" t="s">
        <v>30</v>
      </c>
      <c r="O65" s="115" t="s">
        <v>30</v>
      </c>
      <c r="P65" s="115"/>
      <c r="Q65" s="115" t="s">
        <v>30</v>
      </c>
      <c r="R65" s="115" t="s">
        <v>30</v>
      </c>
      <c r="S65" s="115"/>
      <c r="T65" s="118">
        <f t="shared" si="4"/>
        <v>0</v>
      </c>
      <c r="U65" s="133"/>
      <c r="V65" s="4"/>
      <c r="W65" s="134"/>
      <c r="X65" s="106"/>
      <c r="Y65" s="106"/>
    </row>
    <row r="66" ht="15.75" customHeight="1">
      <c r="A66" s="114">
        <f t="shared" si="7"/>
        <v>15</v>
      </c>
      <c r="B66" s="114">
        <f t="shared" si="8"/>
        <v>11</v>
      </c>
      <c r="C66" s="107" t="s">
        <v>79</v>
      </c>
      <c r="D66" s="115" t="s">
        <v>294</v>
      </c>
      <c r="E66" s="116" t="str">
        <f>image("http://www.zrarmy.com/images/arg.png", 1)</f>
        <v/>
      </c>
      <c r="F66" s="109" t="s">
        <v>101</v>
      </c>
      <c r="G66" s="115" t="s">
        <v>101</v>
      </c>
      <c r="H66" s="115" t="s">
        <v>30</v>
      </c>
      <c r="I66" s="115" t="s">
        <v>30</v>
      </c>
      <c r="J66" s="115" t="s">
        <v>30</v>
      </c>
      <c r="K66" s="115" t="s">
        <v>30</v>
      </c>
      <c r="L66" s="115" t="s">
        <v>30</v>
      </c>
      <c r="M66" s="115" t="s">
        <v>30</v>
      </c>
      <c r="N66" s="115" t="s">
        <v>30</v>
      </c>
      <c r="O66" s="115" t="s">
        <v>30</v>
      </c>
      <c r="P66" s="115" t="s">
        <v>30</v>
      </c>
      <c r="Q66" s="115" t="s">
        <v>30</v>
      </c>
      <c r="R66" s="115" t="s">
        <v>30</v>
      </c>
      <c r="S66" s="115"/>
      <c r="T66" s="118">
        <f t="shared" si="4"/>
        <v>0</v>
      </c>
      <c r="U66" s="133"/>
      <c r="V66" s="4"/>
      <c r="W66" s="134"/>
      <c r="X66" s="106"/>
      <c r="Y66" s="106"/>
    </row>
    <row r="67" ht="15.75" customHeight="1">
      <c r="A67" s="114">
        <f t="shared" si="7"/>
        <v>15</v>
      </c>
      <c r="B67" s="114">
        <f t="shared" si="8"/>
        <v>11</v>
      </c>
      <c r="C67" s="107" t="s">
        <v>79</v>
      </c>
      <c r="D67" s="115" t="s">
        <v>135</v>
      </c>
      <c r="E67" s="116" t="str">
        <f>image("http://www.zrarmy.com/images/mex.jpg", 1)</f>
        <v/>
      </c>
      <c r="F67" s="109" t="s">
        <v>101</v>
      </c>
      <c r="G67" s="115" t="s">
        <v>101</v>
      </c>
      <c r="H67" s="115" t="s">
        <v>30</v>
      </c>
      <c r="I67" s="115" t="s">
        <v>30</v>
      </c>
      <c r="J67" s="115" t="s">
        <v>30</v>
      </c>
      <c r="K67" s="115" t="s">
        <v>30</v>
      </c>
      <c r="L67" s="115" t="s">
        <v>30</v>
      </c>
      <c r="M67" s="115" t="s">
        <v>30</v>
      </c>
      <c r="N67" s="115" t="s">
        <v>30</v>
      </c>
      <c r="O67" s="115" t="s">
        <v>30</v>
      </c>
      <c r="P67" s="115" t="s">
        <v>30</v>
      </c>
      <c r="Q67" s="115" t="s">
        <v>30</v>
      </c>
      <c r="R67" s="115" t="s">
        <v>30</v>
      </c>
      <c r="S67" s="115"/>
      <c r="T67" s="118">
        <f t="shared" si="4"/>
        <v>0</v>
      </c>
      <c r="U67" s="133"/>
      <c r="V67" s="4"/>
      <c r="W67" s="134"/>
      <c r="X67" s="106"/>
      <c r="Y67" s="106"/>
    </row>
    <row r="68" ht="15.75" customHeight="1">
      <c r="A68" s="114">
        <f t="shared" si="7"/>
        <v>15</v>
      </c>
      <c r="B68" s="114">
        <f t="shared" si="8"/>
        <v>11</v>
      </c>
      <c r="C68" s="107" t="s">
        <v>79</v>
      </c>
      <c r="D68" s="115" t="s">
        <v>307</v>
      </c>
      <c r="E68" s="116" t="str">
        <f>image("http://www.zrarmy.com/images/chi.jpg", 1)</f>
        <v/>
      </c>
      <c r="F68" s="109" t="s">
        <v>101</v>
      </c>
      <c r="G68" s="115" t="s">
        <v>101</v>
      </c>
      <c r="H68" s="115" t="s">
        <v>30</v>
      </c>
      <c r="I68" s="115" t="s">
        <v>30</v>
      </c>
      <c r="J68" s="115" t="s">
        <v>30</v>
      </c>
      <c r="K68" s="115" t="s">
        <v>30</v>
      </c>
      <c r="L68" s="115" t="s">
        <v>30</v>
      </c>
      <c r="M68" s="115" t="s">
        <v>30</v>
      </c>
      <c r="N68" s="115" t="s">
        <v>30</v>
      </c>
      <c r="O68" s="115" t="s">
        <v>30</v>
      </c>
      <c r="P68" s="115" t="s">
        <v>30</v>
      </c>
      <c r="Q68" s="115" t="s">
        <v>30</v>
      </c>
      <c r="R68" s="115" t="s">
        <v>30</v>
      </c>
      <c r="S68" s="115"/>
      <c r="T68" s="118">
        <f t="shared" si="4"/>
        <v>0</v>
      </c>
      <c r="U68" s="133"/>
      <c r="V68" s="4"/>
      <c r="W68" s="134"/>
      <c r="X68" s="106"/>
      <c r="Y68" s="106"/>
    </row>
    <row r="69" ht="15.75" customHeight="1">
      <c r="A69" s="114">
        <f t="shared" si="7"/>
        <v>15</v>
      </c>
      <c r="B69" s="114">
        <f t="shared" si="8"/>
        <v>11</v>
      </c>
      <c r="C69" s="107" t="s">
        <v>79</v>
      </c>
      <c r="D69" s="115" t="s">
        <v>308</v>
      </c>
      <c r="E69" s="116" t="str">
        <f>image("http://www.zrarmy.com/images/mex.jpg", 1)</f>
        <v/>
      </c>
      <c r="F69" s="109" t="s">
        <v>101</v>
      </c>
      <c r="G69" s="115" t="s">
        <v>101</v>
      </c>
      <c r="H69" s="115" t="s">
        <v>30</v>
      </c>
      <c r="I69" s="115" t="s">
        <v>30</v>
      </c>
      <c r="J69" s="115" t="s">
        <v>30</v>
      </c>
      <c r="K69" s="115" t="s">
        <v>30</v>
      </c>
      <c r="L69" s="115" t="s">
        <v>30</v>
      </c>
      <c r="M69" s="115" t="s">
        <v>30</v>
      </c>
      <c r="N69" s="115" t="s">
        <v>30</v>
      </c>
      <c r="O69" s="115" t="s">
        <v>30</v>
      </c>
      <c r="P69" s="115" t="s">
        <v>30</v>
      </c>
      <c r="Q69" s="115" t="s">
        <v>30</v>
      </c>
      <c r="R69" s="115" t="s">
        <v>30</v>
      </c>
      <c r="S69" s="115"/>
      <c r="T69" s="118">
        <f t="shared" si="4"/>
        <v>0</v>
      </c>
      <c r="U69" s="133"/>
      <c r="V69" s="4"/>
      <c r="W69" s="134"/>
      <c r="X69" s="106"/>
      <c r="Y69" s="106"/>
    </row>
    <row r="70" ht="15.75" customHeight="1">
      <c r="A70" s="114">
        <f t="shared" si="7"/>
        <v>15</v>
      </c>
      <c r="B70" s="114">
        <f t="shared" si="8"/>
        <v>15</v>
      </c>
      <c r="C70" s="159"/>
      <c r="D70" s="160"/>
      <c r="E70" s="108"/>
      <c r="F70" s="109"/>
      <c r="G70" s="160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8">
        <f t="shared" si="4"/>
        <v>0</v>
      </c>
      <c r="U70" s="133"/>
      <c r="V70" s="4"/>
      <c r="W70" s="134"/>
      <c r="X70" s="106"/>
      <c r="Y70" s="106"/>
    </row>
    <row r="71" ht="15.75" customHeight="1">
      <c r="A71" s="114">
        <f t="shared" si="7"/>
        <v>15</v>
      </c>
      <c r="B71" s="114">
        <f t="shared" si="8"/>
        <v>15</v>
      </c>
      <c r="C71" s="107"/>
      <c r="D71" s="115"/>
      <c r="E71" s="108"/>
      <c r="F71" s="109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8">
        <f t="shared" si="4"/>
        <v>0</v>
      </c>
      <c r="U71" s="133"/>
      <c r="V71" s="4"/>
      <c r="W71" s="134"/>
      <c r="X71" s="106"/>
      <c r="Y71" s="106"/>
    </row>
    <row r="72" ht="15.75" customHeight="1">
      <c r="A72" s="114">
        <f t="shared" si="7"/>
        <v>15</v>
      </c>
      <c r="B72" s="114">
        <f t="shared" si="8"/>
        <v>15</v>
      </c>
      <c r="C72" s="107"/>
      <c r="D72" s="115"/>
      <c r="E72" s="108"/>
      <c r="F72" s="109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8">
        <f t="shared" si="4"/>
        <v>0</v>
      </c>
      <c r="U72" s="133"/>
      <c r="V72" s="4"/>
      <c r="W72" s="134"/>
      <c r="X72" s="106"/>
      <c r="Y72" s="106"/>
    </row>
    <row r="73" ht="15.75" customHeight="1">
      <c r="A73" s="114">
        <f t="shared" si="7"/>
        <v>15</v>
      </c>
      <c r="B73" s="114">
        <f t="shared" si="8"/>
        <v>15</v>
      </c>
      <c r="C73" s="107"/>
      <c r="D73" s="115"/>
      <c r="E73" s="108"/>
      <c r="F73" s="109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8">
        <f t="shared" si="4"/>
        <v>0</v>
      </c>
      <c r="U73" s="133"/>
      <c r="V73" s="4"/>
      <c r="W73" s="134"/>
      <c r="X73" s="106"/>
      <c r="Y73" s="106"/>
    </row>
    <row r="74" ht="15.75" customHeight="1">
      <c r="A74" s="114">
        <f t="shared" si="7"/>
        <v>15</v>
      </c>
      <c r="B74" s="114">
        <f t="shared" si="8"/>
        <v>15</v>
      </c>
      <c r="C74" s="107"/>
      <c r="D74" s="115"/>
      <c r="E74" s="108"/>
      <c r="F74" s="109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8">
        <f t="shared" si="4"/>
        <v>0</v>
      </c>
      <c r="U74" s="133"/>
      <c r="V74" s="4"/>
      <c r="W74" s="134"/>
      <c r="X74" s="106"/>
      <c r="Y74" s="106"/>
    </row>
    <row r="75" ht="15.75" customHeight="1">
      <c r="A75" s="114">
        <f t="shared" si="7"/>
        <v>15</v>
      </c>
      <c r="B75" s="114">
        <f t="shared" si="8"/>
        <v>15</v>
      </c>
      <c r="C75" s="107"/>
      <c r="D75" s="115"/>
      <c r="E75" s="108"/>
      <c r="F75" s="109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8">
        <f t="shared" si="4"/>
        <v>0</v>
      </c>
      <c r="U75" s="133"/>
      <c r="V75" s="4"/>
      <c r="W75" s="134"/>
      <c r="X75" s="106"/>
      <c r="Y75" s="106"/>
    </row>
    <row r="76" ht="15.75" customHeight="1">
      <c r="A76" s="114">
        <f t="shared" si="7"/>
        <v>15</v>
      </c>
      <c r="B76" s="114">
        <f t="shared" si="8"/>
        <v>15</v>
      </c>
      <c r="C76" s="107"/>
      <c r="D76" s="115"/>
      <c r="E76" s="108"/>
      <c r="F76" s="109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8">
        <f t="shared" si="4"/>
        <v>0</v>
      </c>
      <c r="U76" s="133"/>
      <c r="V76" s="4"/>
      <c r="W76" s="134"/>
      <c r="X76" s="106"/>
      <c r="Y76" s="106"/>
    </row>
    <row r="77" ht="15.75" customHeight="1">
      <c r="A77" s="114">
        <f t="shared" si="7"/>
        <v>15</v>
      </c>
      <c r="B77" s="114">
        <f t="shared" si="8"/>
        <v>15</v>
      </c>
      <c r="C77" s="107"/>
      <c r="D77" s="115"/>
      <c r="E77" s="108"/>
      <c r="F77" s="109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8">
        <f t="shared" si="4"/>
        <v>0</v>
      </c>
      <c r="U77" s="133"/>
      <c r="V77" s="4"/>
      <c r="W77" s="134"/>
      <c r="X77" s="106"/>
      <c r="Y77" s="106"/>
    </row>
    <row r="78" ht="15.75" customHeight="1">
      <c r="A78" s="114">
        <f t="shared" si="7"/>
        <v>15</v>
      </c>
      <c r="B78" s="114">
        <f t="shared" si="8"/>
        <v>15</v>
      </c>
      <c r="C78" s="107"/>
      <c r="D78" s="115"/>
      <c r="E78" s="108"/>
      <c r="F78" s="109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15"/>
      <c r="S78" s="115"/>
      <c r="T78" s="118">
        <f t="shared" si="4"/>
        <v>0</v>
      </c>
      <c r="U78" s="133"/>
      <c r="V78" s="4"/>
      <c r="W78" s="134"/>
      <c r="X78" s="106"/>
      <c r="Y78" s="106"/>
    </row>
    <row r="79" ht="15.75" customHeight="1">
      <c r="A79" s="114">
        <f t="shared" si="7"/>
        <v>15</v>
      </c>
      <c r="B79" s="114">
        <f t="shared" si="8"/>
        <v>15</v>
      </c>
      <c r="C79" s="107"/>
      <c r="D79" s="115"/>
      <c r="E79" s="108"/>
      <c r="F79" s="109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15"/>
      <c r="S79" s="115"/>
      <c r="T79" s="118">
        <f t="shared" si="4"/>
        <v>0</v>
      </c>
      <c r="U79" s="133"/>
      <c r="V79" s="4"/>
      <c r="W79" s="134"/>
      <c r="X79" s="106"/>
      <c r="Y79" s="106"/>
    </row>
    <row r="80" ht="15.75" customHeight="1">
      <c r="A80" s="114">
        <f t="shared" si="7"/>
        <v>15</v>
      </c>
      <c r="B80" s="114">
        <f t="shared" si="8"/>
        <v>15</v>
      </c>
      <c r="C80" s="107"/>
      <c r="D80" s="115"/>
      <c r="E80" s="108"/>
      <c r="F80" s="109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15"/>
      <c r="S80" s="115"/>
      <c r="T80" s="118">
        <f t="shared" si="4"/>
        <v>0</v>
      </c>
      <c r="U80" s="133"/>
      <c r="V80" s="4"/>
      <c r="W80" s="134"/>
      <c r="X80" s="106"/>
      <c r="Y80" s="106"/>
    </row>
    <row r="81" ht="15.75" customHeight="1">
      <c r="A81" s="114">
        <f t="shared" si="7"/>
        <v>15</v>
      </c>
      <c r="B81" s="114">
        <f t="shared" si="8"/>
        <v>15</v>
      </c>
      <c r="C81" s="107"/>
      <c r="D81" s="115"/>
      <c r="E81" s="108"/>
      <c r="F81" s="109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15"/>
      <c r="S81" s="115"/>
      <c r="T81" s="118">
        <f t="shared" si="4"/>
        <v>0</v>
      </c>
      <c r="U81" s="133"/>
      <c r="V81" s="4"/>
      <c r="W81" s="134"/>
      <c r="X81" s="106"/>
      <c r="Y81" s="106"/>
    </row>
    <row r="82" ht="15.75" customHeight="1">
      <c r="A82" s="114">
        <f t="shared" si="7"/>
        <v>15</v>
      </c>
      <c r="B82" s="114">
        <f t="shared" si="8"/>
        <v>15</v>
      </c>
      <c r="C82" s="107"/>
      <c r="D82" s="115"/>
      <c r="E82" s="108"/>
      <c r="F82" s="109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8">
        <f t="shared" si="4"/>
        <v>0</v>
      </c>
      <c r="U82" s="133"/>
      <c r="V82" s="4"/>
      <c r="W82" s="134"/>
      <c r="X82" s="106"/>
      <c r="Y82" s="106"/>
    </row>
    <row r="83" ht="15.75" customHeight="1">
      <c r="A83" s="114">
        <f t="shared" si="7"/>
        <v>15</v>
      </c>
      <c r="B83" s="114">
        <f t="shared" si="8"/>
        <v>15</v>
      </c>
      <c r="C83" s="107"/>
      <c r="D83" s="115"/>
      <c r="E83" s="108"/>
      <c r="F83" s="109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8">
        <f t="shared" si="4"/>
        <v>0</v>
      </c>
      <c r="U83" s="133"/>
      <c r="V83" s="4"/>
      <c r="W83" s="134"/>
      <c r="X83" s="106"/>
      <c r="Y83" s="106"/>
    </row>
    <row r="84" ht="15.75" customHeight="1">
      <c r="A84" s="114">
        <f t="shared" si="7"/>
        <v>15</v>
      </c>
      <c r="B84" s="114">
        <f t="shared" si="8"/>
        <v>15</v>
      </c>
      <c r="C84" s="107"/>
      <c r="D84" s="115"/>
      <c r="E84" s="108"/>
      <c r="F84" s="109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8">
        <f t="shared" si="4"/>
        <v>0</v>
      </c>
      <c r="U84" s="133"/>
      <c r="V84" s="4"/>
      <c r="W84" s="134"/>
      <c r="X84" s="106"/>
      <c r="Y84" s="106"/>
    </row>
    <row r="85" ht="15.75" customHeight="1">
      <c r="A85" s="114">
        <f t="shared" si="7"/>
        <v>15</v>
      </c>
      <c r="B85" s="114">
        <f t="shared" si="8"/>
        <v>15</v>
      </c>
      <c r="C85" s="107"/>
      <c r="D85" s="115"/>
      <c r="E85" s="108"/>
      <c r="F85" s="109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8">
        <f t="shared" si="4"/>
        <v>0</v>
      </c>
      <c r="U85" s="133"/>
      <c r="V85" s="4"/>
      <c r="W85" s="134"/>
      <c r="X85" s="106"/>
      <c r="Y85" s="106"/>
    </row>
    <row r="86" ht="15.75" customHeight="1">
      <c r="A86" s="114">
        <f t="shared" si="7"/>
        <v>15</v>
      </c>
      <c r="B86" s="114">
        <f t="shared" si="8"/>
        <v>15</v>
      </c>
      <c r="C86" s="107"/>
      <c r="D86" s="115"/>
      <c r="E86" s="108"/>
      <c r="F86" s="109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8">
        <f t="shared" si="4"/>
        <v>0</v>
      </c>
      <c r="U86" s="133"/>
      <c r="V86" s="4"/>
      <c r="W86" s="134"/>
      <c r="X86" s="106"/>
      <c r="Y86" s="106"/>
    </row>
    <row r="87" ht="15.75" customHeight="1">
      <c r="A87" s="114">
        <f t="shared" si="7"/>
        <v>15</v>
      </c>
      <c r="B87" s="114">
        <f t="shared" si="8"/>
        <v>15</v>
      </c>
      <c r="C87" s="107"/>
      <c r="D87" s="115"/>
      <c r="E87" s="108"/>
      <c r="F87" s="109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8">
        <f t="shared" si="4"/>
        <v>0</v>
      </c>
      <c r="U87" s="133"/>
      <c r="V87" s="4"/>
      <c r="W87" s="134"/>
      <c r="X87" s="106"/>
      <c r="Y87" s="106"/>
    </row>
    <row r="88" ht="15.75" customHeight="1">
      <c r="A88" s="114">
        <f t="shared" si="7"/>
        <v>15</v>
      </c>
      <c r="B88" s="114">
        <f t="shared" si="8"/>
        <v>15</v>
      </c>
      <c r="C88" s="107"/>
      <c r="D88" s="115"/>
      <c r="E88" s="108"/>
      <c r="F88" s="109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8">
        <f t="shared" si="4"/>
        <v>0</v>
      </c>
      <c r="U88" s="133"/>
      <c r="V88" s="4"/>
      <c r="W88" s="134"/>
      <c r="X88" s="106"/>
      <c r="Y88" s="106"/>
    </row>
    <row r="89" ht="15.75" customHeight="1">
      <c r="A89" s="114">
        <f t="shared" si="7"/>
        <v>15</v>
      </c>
      <c r="B89" s="114">
        <f t="shared" si="8"/>
        <v>15</v>
      </c>
      <c r="C89" s="107"/>
      <c r="D89" s="115"/>
      <c r="E89" s="108"/>
      <c r="F89" s="109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8">
        <f t="shared" si="4"/>
        <v>0</v>
      </c>
      <c r="U89" s="133"/>
      <c r="V89" s="4"/>
      <c r="W89" s="134"/>
      <c r="X89" s="106"/>
      <c r="Y89" s="106"/>
    </row>
    <row r="90" ht="15.75" customHeight="1">
      <c r="A90" s="114">
        <f t="shared" si="7"/>
        <v>15</v>
      </c>
      <c r="B90" s="114">
        <f t="shared" si="8"/>
        <v>15</v>
      </c>
      <c r="C90" s="107"/>
      <c r="D90" s="115"/>
      <c r="E90" s="108"/>
      <c r="F90" s="109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8">
        <f t="shared" si="4"/>
        <v>0</v>
      </c>
      <c r="U90" s="133"/>
      <c r="V90" s="4"/>
      <c r="W90" s="134"/>
      <c r="X90" s="106"/>
      <c r="Y90" s="106"/>
    </row>
    <row r="91" ht="15.75" customHeight="1">
      <c r="A91" s="114">
        <f t="shared" si="7"/>
        <v>15</v>
      </c>
      <c r="B91" s="114">
        <f t="shared" si="8"/>
        <v>15</v>
      </c>
      <c r="C91" s="107"/>
      <c r="D91" s="115"/>
      <c r="E91" s="108"/>
      <c r="F91" s="109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8">
        <f t="shared" si="4"/>
        <v>0</v>
      </c>
      <c r="U91" s="133"/>
      <c r="V91" s="4"/>
      <c r="W91" s="134"/>
      <c r="X91" s="106"/>
      <c r="Y91" s="106"/>
    </row>
    <row r="92" ht="15.75" customHeight="1">
      <c r="A92" s="114">
        <f t="shared" si="7"/>
        <v>15</v>
      </c>
      <c r="B92" s="114">
        <f t="shared" si="8"/>
        <v>15</v>
      </c>
      <c r="C92" s="107"/>
      <c r="D92" s="115"/>
      <c r="E92" s="108"/>
      <c r="F92" s="109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8">
        <f t="shared" si="4"/>
        <v>0</v>
      </c>
      <c r="U92" s="133"/>
      <c r="V92" s="4"/>
      <c r="W92" s="134"/>
      <c r="X92" s="106"/>
      <c r="Y92" s="106"/>
    </row>
    <row r="93" ht="15.75" customHeight="1">
      <c r="A93" s="114">
        <f t="shared" si="7"/>
        <v>15</v>
      </c>
      <c r="B93" s="114">
        <f t="shared" si="8"/>
        <v>15</v>
      </c>
      <c r="C93" s="107"/>
      <c r="D93" s="115"/>
      <c r="E93" s="108"/>
      <c r="F93" s="109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8">
        <f t="shared" si="4"/>
        <v>0</v>
      </c>
      <c r="U93" s="133"/>
      <c r="V93" s="4"/>
      <c r="W93" s="134"/>
      <c r="X93" s="106"/>
      <c r="Y93" s="106"/>
    </row>
    <row r="94" ht="15.75" customHeight="1">
      <c r="A94" s="114">
        <f t="shared" si="7"/>
        <v>15</v>
      </c>
      <c r="B94" s="114">
        <f t="shared" si="8"/>
        <v>15</v>
      </c>
      <c r="C94" s="107"/>
      <c r="D94" s="115"/>
      <c r="E94" s="108"/>
      <c r="F94" s="109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8">
        <f t="shared" si="4"/>
        <v>0</v>
      </c>
      <c r="U94" s="133"/>
      <c r="V94" s="4"/>
      <c r="W94" s="134"/>
      <c r="X94" s="106"/>
      <c r="Y94" s="106"/>
    </row>
    <row r="95" ht="15.75" customHeight="1">
      <c r="A95" s="114">
        <f t="shared" si="7"/>
        <v>15</v>
      </c>
      <c r="B95" s="114">
        <f t="shared" si="8"/>
        <v>15</v>
      </c>
      <c r="C95" s="107"/>
      <c r="D95" s="115"/>
      <c r="E95" s="108"/>
      <c r="F95" s="109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8">
        <f t="shared" si="4"/>
        <v>0</v>
      </c>
      <c r="U95" s="133"/>
      <c r="V95" s="4"/>
      <c r="W95" s="134"/>
      <c r="X95" s="106"/>
      <c r="Y95" s="106"/>
    </row>
    <row r="96" ht="15.75" customHeight="1">
      <c r="A96" s="114">
        <f t="shared" si="7"/>
        <v>15</v>
      </c>
      <c r="B96" s="114">
        <f t="shared" si="8"/>
        <v>15</v>
      </c>
      <c r="C96" s="107"/>
      <c r="D96" s="115"/>
      <c r="E96" s="108"/>
      <c r="F96" s="109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8">
        <f t="shared" si="4"/>
        <v>0</v>
      </c>
      <c r="U96" s="133"/>
      <c r="V96" s="4"/>
      <c r="W96" s="134"/>
      <c r="X96" s="106"/>
      <c r="Y96" s="106"/>
    </row>
    <row r="97" ht="15.75" customHeight="1">
      <c r="A97" s="114">
        <f t="shared" si="7"/>
        <v>15</v>
      </c>
      <c r="B97" s="114">
        <f t="shared" si="8"/>
        <v>15</v>
      </c>
      <c r="C97" s="107"/>
      <c r="D97" s="115"/>
      <c r="E97" s="108"/>
      <c r="F97" s="109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8">
        <f t="shared" si="4"/>
        <v>0</v>
      </c>
      <c r="U97" s="133"/>
      <c r="V97" s="4"/>
      <c r="W97" s="134"/>
      <c r="X97" s="106"/>
      <c r="Y97" s="106"/>
    </row>
    <row r="98" ht="15.75" customHeight="1">
      <c r="A98" s="114">
        <f t="shared" si="7"/>
        <v>15</v>
      </c>
      <c r="B98" s="114">
        <f t="shared" si="8"/>
        <v>15</v>
      </c>
      <c r="C98" s="107"/>
      <c r="D98" s="115"/>
      <c r="E98" s="108"/>
      <c r="F98" s="109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8">
        <f t="shared" si="4"/>
        <v>0</v>
      </c>
      <c r="U98" s="133"/>
      <c r="V98" s="4"/>
      <c r="W98" s="134"/>
      <c r="X98" s="106"/>
      <c r="Y98" s="106"/>
    </row>
    <row r="99" ht="15.75" customHeight="1">
      <c r="A99" s="166"/>
      <c r="B99" s="166"/>
      <c r="C99" s="101"/>
      <c r="D99" s="138"/>
      <c r="E99" s="138"/>
      <c r="F99" s="138"/>
      <c r="G99" s="71" t="s">
        <v>229</v>
      </c>
      <c r="H99" s="167">
        <f t="shared" ref="H99:S99" si="13">SUM(COUNTIF(H3:H98,"A") + COUNTIF(H3:H98,"T") + (COUNTIF(H3:H98,"O")/2))</f>
        <v>22</v>
      </c>
      <c r="I99" s="167">
        <f t="shared" si="13"/>
        <v>25</v>
      </c>
      <c r="J99" s="167">
        <f t="shared" si="13"/>
        <v>7.5</v>
      </c>
      <c r="K99" s="167">
        <f t="shared" si="13"/>
        <v>17</v>
      </c>
      <c r="L99" s="167">
        <f t="shared" si="13"/>
        <v>23</v>
      </c>
      <c r="M99" s="167">
        <f t="shared" si="13"/>
        <v>5</v>
      </c>
      <c r="N99" s="167">
        <f t="shared" si="13"/>
        <v>28</v>
      </c>
      <c r="O99" s="167">
        <f t="shared" si="13"/>
        <v>31</v>
      </c>
      <c r="P99" s="167">
        <f t="shared" si="13"/>
        <v>8</v>
      </c>
      <c r="Q99" s="167">
        <f t="shared" si="13"/>
        <v>26</v>
      </c>
      <c r="R99" s="167">
        <f t="shared" si="13"/>
        <v>30</v>
      </c>
      <c r="S99" s="167">
        <f t="shared" si="13"/>
        <v>6.5</v>
      </c>
      <c r="T99" s="168">
        <f t="shared" ref="T99:T101" si="15">AVERAGE(H99:S99)</f>
        <v>19.08333333</v>
      </c>
      <c r="U99" s="169" t="s">
        <v>326</v>
      </c>
      <c r="X99" s="138"/>
      <c r="Y99" s="138"/>
    </row>
    <row r="100" ht="15.75" customHeight="1">
      <c r="A100" s="166"/>
      <c r="B100" s="166"/>
      <c r="C100" s="101"/>
      <c r="D100" s="138"/>
      <c r="E100" s="138"/>
      <c r="F100" s="138"/>
      <c r="G100" s="75" t="s">
        <v>231</v>
      </c>
      <c r="H100" s="170">
        <f t="shared" ref="H100:S100" si="14">SUM(COUNTIF(H3:H98,"J"))</f>
        <v>9</v>
      </c>
      <c r="I100" s="170">
        <f t="shared" si="14"/>
        <v>12</v>
      </c>
      <c r="J100" s="170">
        <f t="shared" si="14"/>
        <v>0</v>
      </c>
      <c r="K100" s="170">
        <f t="shared" si="14"/>
        <v>16</v>
      </c>
      <c r="L100" s="170">
        <f t="shared" si="14"/>
        <v>10</v>
      </c>
      <c r="M100" s="170">
        <f t="shared" si="14"/>
        <v>0</v>
      </c>
      <c r="N100" s="170">
        <f t="shared" si="14"/>
        <v>6</v>
      </c>
      <c r="O100" s="170">
        <f t="shared" si="14"/>
        <v>4</v>
      </c>
      <c r="P100" s="170">
        <f t="shared" si="14"/>
        <v>0</v>
      </c>
      <c r="Q100" s="170">
        <f t="shared" si="14"/>
        <v>10</v>
      </c>
      <c r="R100" s="170">
        <f t="shared" si="14"/>
        <v>9</v>
      </c>
      <c r="S100" s="170">
        <f t="shared" si="14"/>
        <v>0</v>
      </c>
      <c r="T100" s="171">
        <f t="shared" si="15"/>
        <v>6.333333333</v>
      </c>
      <c r="U100" s="169" t="s">
        <v>327</v>
      </c>
      <c r="X100" s="138"/>
      <c r="Y100" s="138"/>
    </row>
    <row r="101" ht="15.75" customHeight="1">
      <c r="A101" s="166"/>
      <c r="B101" s="166"/>
      <c r="C101" s="101"/>
      <c r="D101" s="138"/>
      <c r="E101" s="138"/>
      <c r="F101" s="138"/>
      <c r="G101" s="78" t="s">
        <v>233</v>
      </c>
      <c r="H101" s="172">
        <f t="shared" ref="H101:S101" si="16">SUM(COUNTIF(H3:H98,"F"))</f>
        <v>0</v>
      </c>
      <c r="I101" s="172">
        <f t="shared" si="16"/>
        <v>0</v>
      </c>
      <c r="J101" s="172">
        <f t="shared" si="16"/>
        <v>0</v>
      </c>
      <c r="K101" s="172">
        <f t="shared" si="16"/>
        <v>2</v>
      </c>
      <c r="L101" s="172">
        <f t="shared" si="16"/>
        <v>1</v>
      </c>
      <c r="M101" s="172">
        <f t="shared" si="16"/>
        <v>0</v>
      </c>
      <c r="N101" s="172">
        <f t="shared" si="16"/>
        <v>1</v>
      </c>
      <c r="O101" s="172">
        <f t="shared" si="16"/>
        <v>1</v>
      </c>
      <c r="P101" s="172">
        <f t="shared" si="16"/>
        <v>0</v>
      </c>
      <c r="Q101" s="172">
        <f t="shared" si="16"/>
        <v>1</v>
      </c>
      <c r="R101" s="172">
        <f t="shared" si="16"/>
        <v>2</v>
      </c>
      <c r="S101" s="172">
        <f t="shared" si="16"/>
        <v>0</v>
      </c>
      <c r="T101" s="173">
        <f t="shared" si="15"/>
        <v>0.6666666667</v>
      </c>
      <c r="U101" s="169" t="s">
        <v>331</v>
      </c>
      <c r="X101" s="138"/>
      <c r="Y101" s="138"/>
    </row>
    <row r="102" ht="15.75" customHeight="1">
      <c r="A102" s="166"/>
      <c r="B102" s="166"/>
      <c r="C102" s="101"/>
      <c r="D102" s="138"/>
      <c r="E102" s="138"/>
      <c r="F102" s="138"/>
      <c r="G102" s="174" t="s">
        <v>332</v>
      </c>
      <c r="H102" s="175">
        <f t="shared" ref="H102:I102" si="17">SUM(H99:H101)</f>
        <v>31</v>
      </c>
      <c r="I102" s="175">
        <f t="shared" si="17"/>
        <v>37</v>
      </c>
      <c r="J102" s="175"/>
      <c r="K102" s="175">
        <f t="shared" ref="K102:L102" si="18">SUM(K99:K101)</f>
        <v>35</v>
      </c>
      <c r="L102" s="175">
        <f t="shared" si="18"/>
        <v>34</v>
      </c>
      <c r="M102" s="175"/>
      <c r="N102" s="175">
        <f t="shared" ref="N102:O102" si="19">SUM(N99:N101)</f>
        <v>35</v>
      </c>
      <c r="O102" s="175">
        <f t="shared" si="19"/>
        <v>36</v>
      </c>
      <c r="P102" s="175"/>
      <c r="Q102" s="175">
        <f t="shared" ref="Q102:R102" si="20">SUM(Q99:Q101)</f>
        <v>37</v>
      </c>
      <c r="R102" s="175">
        <f t="shared" si="20"/>
        <v>41</v>
      </c>
      <c r="S102" s="175"/>
      <c r="T102" s="176"/>
      <c r="U102" s="176"/>
      <c r="V102" s="138"/>
      <c r="W102" s="169"/>
      <c r="X102" s="138"/>
      <c r="Y102" s="138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S$98"/>
  <mergeCells count="79"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85:V85"/>
    <mergeCell ref="U86:V86"/>
    <mergeCell ref="U87:V87"/>
    <mergeCell ref="U88:V88"/>
    <mergeCell ref="U89:V89"/>
    <mergeCell ref="U97:V97"/>
    <mergeCell ref="U98:V98"/>
    <mergeCell ref="U90:V90"/>
    <mergeCell ref="U91:V91"/>
    <mergeCell ref="U92:V92"/>
    <mergeCell ref="U93:V93"/>
    <mergeCell ref="U94:V94"/>
    <mergeCell ref="U95:V95"/>
    <mergeCell ref="U96:V96"/>
    <mergeCell ref="C1:F1"/>
    <mergeCell ref="H1:S1"/>
    <mergeCell ref="U23:V23"/>
    <mergeCell ref="U24:V24"/>
    <mergeCell ref="X24:Y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</mergeCells>
  <conditionalFormatting sqref="H3:S13 U3:U9 H15:S69">
    <cfRule type="containsText" dxfId="11" priority="1" operator="containsText" text="O">
      <formula>NOT(ISERROR(SEARCH(("O"),(H3))))</formula>
    </cfRule>
  </conditionalFormatting>
  <conditionalFormatting sqref="X17:X18 Y17 X30">
    <cfRule type="containsText" dxfId="1" priority="2" operator="containsText" text="Si">
      <formula>NOT(ISERROR(SEARCH(("Si"),(X17))))</formula>
    </cfRule>
  </conditionalFormatting>
  <conditionalFormatting sqref="H3:S98 U3:U9">
    <cfRule type="containsText" dxfId="2" priority="3" operator="containsText" text="A">
      <formula>NOT(ISERROR(SEARCH(("A"),(H3))))</formula>
    </cfRule>
  </conditionalFormatting>
  <conditionalFormatting sqref="H3:S98 U3:U9">
    <cfRule type="containsText" dxfId="3" priority="4" operator="containsText" text="F">
      <formula>NOT(ISERROR(SEARCH(("F"),(H3))))</formula>
    </cfRule>
  </conditionalFormatting>
  <conditionalFormatting sqref="H3:S98 U3:U9">
    <cfRule type="containsText" dxfId="4" priority="5" operator="containsText" text="J">
      <formula>NOT(ISERROR(SEARCH(("J"),(H3))))</formula>
    </cfRule>
  </conditionalFormatting>
  <conditionalFormatting sqref="H3:S98 U3:U9">
    <cfRule type="containsText" dxfId="5" priority="6" operator="containsText" text="R">
      <formula>NOT(ISERROR(SEARCH(("R"),(H3))))</formula>
    </cfRule>
  </conditionalFormatting>
  <conditionalFormatting sqref="H3:S98 U3:U9">
    <cfRule type="containsText" dxfId="6" priority="7" operator="containsText" text="L">
      <formula>NOT(ISERROR(SEARCH(("L"),(H3))))</formula>
    </cfRule>
  </conditionalFormatting>
  <conditionalFormatting sqref="W14:W98">
    <cfRule type="expression" dxfId="7" priority="8">
      <formula>AND(ISNUMBER(W14),TRUNC(W14)&lt;TODAY())</formula>
    </cfRule>
  </conditionalFormatting>
  <conditionalFormatting sqref="W14:W98">
    <cfRule type="expression" dxfId="8" priority="9">
      <formula>AND(ISNUMBER(W14),TRUNC(W14)&gt;TODAY())</formula>
    </cfRule>
  </conditionalFormatting>
  <conditionalFormatting sqref="W14:W98">
    <cfRule type="timePeriod" dxfId="9" priority="10" timePeriod="today"/>
  </conditionalFormatting>
  <conditionalFormatting sqref="X14:X21 Y14:Y24 X23:X98 Y26:Y98">
    <cfRule type="containsText" dxfId="7" priority="11" operator="containsText" text="No">
      <formula>NOT(ISERROR(SEARCH(("No"),(X14))))</formula>
    </cfRule>
  </conditionalFormatting>
  <conditionalFormatting sqref="H3:S98 U3:U9">
    <cfRule type="containsText" dxfId="10" priority="12" operator="containsText" text="T">
      <formula>NOT(ISERROR(SEARCH(("T"),(H3))))</formula>
    </cfRule>
  </conditionalFormatting>
  <conditionalFormatting sqref="X14:X21 Y14:Y24 X23:X98 Y26:Y98">
    <cfRule type="containsText" dxfId="1" priority="13" operator="containsText" text="Sí">
      <formula>NOT(ISERROR(SEARCH(("Sí"),(X14))))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