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PURCHASE_DESCRIPTION" localSheetId="3">'Costs (DNF)'!$G$15</definedName>
    <definedName name="PURCHASE_DESCRIPTION" localSheetId="2">'Costs'!$H$42</definedName>
    <definedName name="TotalCost" localSheetId="3">'Costs (DNF)'!$G$4</definedName>
    <definedName name="TotalCost" localSheetId="2">'Costs'!$H$4</definedName>
    <definedName name="USD_EUR" localSheetId="2">'Costs'!$C$41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10" authorId="0">
      <text>
        <r>
          <rPr>
            <sz val="8"/>
            <color indexed="81"/>
            <rFont val="Tahoma"/>
            <family val="2"/>
          </rPr>
          <t>1105688 Auf Lager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€0.02      €0.16
   100   €0.01      €1.20
   500   €0.01      €4.50
  2500   €0.01     €20.00
  5000   €0.01     €35.00
 10000   €0.01     €60.00
 50000   €0.01    €300.00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Kondensator aus mehreren Keramikschichten MLCC - SMD/SMT 16V 0.1uF X7R 0402 10%</t>
        </r>
      </text>
    </comment>
    <comment ref="I11" authorId="0">
      <text>
        <r>
          <rPr>
            <sz val="8"/>
            <color indexed="81"/>
            <rFont val="Tahoma"/>
            <family val="2"/>
          </rPr>
          <t>11159 Auf Lager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€0.50      €0.50
    10   €0.33      €3.30
   100   €0.23     €22.60
   500   €0.18     €92.50
  1000   €0.17    €170.00
  2000   €0.16    €316.00
  4000   €0.13    €528.00
  8000   €0.13  €1,032.00
 24000   €0.12  €2,952.00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Kondensator aus mehreren Keramikschichten MLCC - SMD/SMT R102 HIGH CV</t>
        </r>
      </text>
    </comment>
    <comment ref="I12" authorId="0">
      <text>
        <r>
          <rPr>
            <sz val="8"/>
            <color indexed="81"/>
            <rFont val="Tahoma"/>
            <family val="2"/>
          </rPr>
          <t>174900 Auf Lager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€0.06      €0.56
   100   €0.03      €3.40
   500   €0.03     €13.50
  1000   €0.02     €24.00
  2500   €0.02     €55.00
  5000   €0.02    €100.00
 10000   €0.01    €150.00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Kondensator aus mehreren Keramikschichten MLCC - SMD/SMT KGM05AR51E105KH NEW GLOBAL PN 25V 1uF X5 A 581-KGM05AR51E105KH</t>
        </r>
      </text>
    </comment>
    <comment ref="I13" authorId="0">
      <text>
        <r>
          <rPr>
            <sz val="8"/>
            <color indexed="81"/>
            <rFont val="Tahoma"/>
            <family val="2"/>
          </rPr>
          <t>5690 Auf Lager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€0.15      €0.15
    10   €0.10      €0.99
   100   €0.05      €5.20
   500   €0.04     €20.50
  1000   €0.04     €37.00
  2000   €0.03     €68.00
  4000   €0.03    €112.00
  8000   €0.03    €216.00
 24000   €0.03    €624.00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Kondensator aus mehreren Keramikschichten MLCC - SMD/SMT KGM15BR51E225MT NEW GLOBAL PN 25V 2.2uF A 581-KGM15BR51E225MT</t>
        </r>
      </text>
    </comment>
    <comment ref="I14" authorId="0">
      <text>
        <r>
          <rPr>
            <sz val="8"/>
            <color indexed="81"/>
            <rFont val="Tahoma"/>
            <family val="2"/>
          </rPr>
          <t>898386 Auf Lager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€0.02      €0.18
  4000   €0.02     €64.00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Desc: Kondensator aus mehreren Keramikschichten MLCC - SMD/SMT RPLCMT PN 963-MSASL105BB5475MF 10V 4.7uF X5R 0603 10 %</t>
        </r>
      </text>
    </comment>
    <comment ref="I15" authorId="0">
      <text>
        <r>
          <rPr>
            <sz val="8"/>
            <color indexed="81"/>
            <rFont val="Tahoma"/>
            <family val="2"/>
          </rPr>
          <t>148663 Auf Lager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€0.16      €0.16
    10   €0.09      €0.89
   100   €0.06      €5.70
   500   €0.05     €25.00
  1000   €0.04     €42.00
  2500   €0.04     €95.00
  5000   €0.03    €170.00
 10000   €0.03    €250.00
 20000   €0.02    €480.00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Desc: Kondensator aus mehreren Keramikschichten MLCC - SMD/SMT 4V 10uF X5R 0402 20 %</t>
        </r>
      </text>
    </comment>
    <comment ref="I16" authorId="0">
      <text>
        <r>
          <rPr>
            <sz val="8"/>
            <color indexed="81"/>
            <rFont val="Tahoma"/>
            <family val="2"/>
          </rPr>
          <t>7840 Auf Lager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€0.20      €0.20
    10   €0.13      €1.28
   100   €0.08      €7.70
   500   €0.06     €30.00
  1000   €0.06     €55.00
  2500   €0.05    €127.50
  5000   €0.04    €225.00
 10000   €0.04    €410.00
 20000   €0.04    €800.00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Kondensator aus mehreren Keramikschichten MLCC - SMD/SMT 2.5V 22uF X6S 0402 20% Mobile Devices</t>
        </r>
      </text>
    </comment>
    <comment ref="I17" authorId="0">
      <text>
        <r>
          <rPr>
            <sz val="8"/>
            <color indexed="81"/>
            <rFont val="Tahoma"/>
            <family val="2"/>
          </rPr>
          <t>8389 Auf Lager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€1.03      €1.03
    10   €0.73      €7.28
   100   €0.54     €54.30
   500   €0.46    €230.00
  1000   €0.43    €433.00
  2000   €0.41    €820.00
  4000   €0.37  €1,492.00
  8000   €0.35  €2,840.00
 24000   €0.35  €8,472.00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Einfarbige LEDs leds Top Mt InGaN Green</t>
        </r>
      </text>
    </comment>
    <comment ref="I18" authorId="0">
      <text>
        <r>
          <rPr>
            <sz val="8"/>
            <color indexed="81"/>
            <rFont val="Tahoma"/>
            <family val="2"/>
          </rPr>
          <t>5306 Auf Lager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€2.46      €2.46
    10   €1.71     €17.10
   100   €1.32    €132.00
   500   €1.31    €655.00
  3000   €1.11  €3,330.00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Fotodioden PHOTO PIN DIODE SMD Low profile Top View 6.0 mm</t>
        </r>
      </text>
    </comment>
    <comment ref="I19" authorId="0">
      <text>
        <r>
          <rPr>
            <sz val="8"/>
            <color indexed="81"/>
            <rFont val="Tahoma"/>
            <family val="2"/>
          </rPr>
          <t>10868 Auf Lager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€1.23      €1.23
     5   €1.09      €5.45
    10   €0.97      €9.72
    50   €0.93     €46.45
   100   €0.89     €89.40
   500   €0.81    €405.50
  1000   €0.78    €779.00
  2000   €0.76  €1,514.00
  5000   €0.71  €3,535.00
  8000   €0.71  €5,656.00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Desc: Beschleunigungsmesser 3-axis MEMS accelerometer,  &amp;#177;2g/&amp;#177;4g/&amp;#177;8g/&amp;#177;16g full scale, hig</t>
        </r>
      </text>
    </comment>
    <comment ref="I20" authorId="0">
      <text>
        <r>
          <rPr>
            <sz val="8"/>
            <color indexed="81"/>
            <rFont val="Tahoma"/>
            <family val="2"/>
          </rPr>
          <t>1231 Auf Lager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€6.12      €6.12
     5   €6.11     €30.55
    10   €4.73     €47.30
    25   €4.38    €109.50
   100   €3.75    €375.00
   500   €3.74  €1,870.00
  1000   €3.69  €3,690.00
  2496   €3.47  €8,661.12</t>
        </r>
      </text>
    </comment>
    <comment ref="N20" authorId="0">
      <text>
        <r>
          <rPr>
            <sz val="8"/>
            <color indexed="81"/>
            <rFont val="Tahoma"/>
            <family val="2"/>
          </rPr>
          <t>Desc: Biometrische Sensoren SENSOR HUB W/ SPO2 &amp; HR ALGORITHMS</t>
        </r>
      </text>
    </comment>
    <comment ref="I21" authorId="0">
      <text>
        <r>
          <rPr>
            <sz val="8"/>
            <color indexed="81"/>
            <rFont val="Tahoma"/>
            <family val="2"/>
          </rPr>
          <t>8363 Auf Lager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€10.11     €10.11
     5   €8.52     €42.60
    10   €7.92     €79.20
    25   €7.19    €179.75
    50   €6.68    €334.00
   100   €6.21    €621.00
   500   €5.50  €2,750.00
  1000   €5.31  €5,310.00
  2500   €5.31 €13,275.00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Desc: Biometrische Sensoren Optical AFE Optimized for HR on Wrist Ap</t>
        </r>
      </text>
    </comment>
    <comment ref="I22" authorId="0">
      <text>
        <r>
          <rPr>
            <sz val="8"/>
            <color indexed="81"/>
            <rFont val="Tahoma"/>
            <family val="2"/>
          </rPr>
          <t>23381 Auf Lager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€0.65      €0.65
    25   €0.55     €13.68
  3000   €0.55  €1,641.00</t>
        </r>
      </text>
    </comment>
    <comment ref="N22" authorId="0">
      <text>
        <r>
          <rPr>
            <sz val="8"/>
            <color indexed="81"/>
            <rFont val="Tahoma"/>
            <family val="2"/>
          </rPr>
          <t>Desc: Batterie-Management Charge mgnt contr</t>
        </r>
      </text>
    </comment>
    <comment ref="I23" authorId="0">
      <text>
        <r>
          <rPr>
            <sz val="8"/>
            <color indexed="81"/>
            <rFont val="Tahoma"/>
            <family val="2"/>
          </rPr>
          <t>8589 Auf Lager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€0.15      €0.15
    25   €0.12      €3.00
   100   €0.11     €11.20
  3000   €0.11    €336.00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Desc: LDO Spannungs-Regulator Ultra Small Single 150mA LDO</t>
        </r>
      </text>
    </comment>
    <comment ref="I24" authorId="0">
      <text>
        <r>
          <rPr>
            <sz val="8"/>
            <color indexed="81"/>
            <rFont val="Tahoma"/>
            <family val="2"/>
          </rPr>
          <t>5222 Auf Lager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€1.05      €1.05
    10   €0.77      €7.66
    25   €0.69     €17.35
   100   €0.61     €61.40
   250   €0.58    €144.00
   500   €0.55    €276.50
  1000   €0.53    €534.00
  3000   €0.51  €1,542.00
  6000   €0.49  €2,934.00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Desc: Schaltspannungsregler 5V 400mA 4MHz Step Up DC/DC Converter A 595-TPS61240YFFT</t>
        </r>
      </text>
    </comment>
    <comment ref="I25" authorId="0">
      <text>
        <r>
          <rPr>
            <sz val="8"/>
            <color indexed="81"/>
            <rFont val="Tahoma"/>
            <family val="2"/>
          </rPr>
          <t>2270 Auf Lager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€0.19      €0.19
    10   €0.16      €1.60
    25   €0.15      €3.70
   100   €0.11     €11.40
   250   €0.11     €27.25
  1000   €0.10    €102.00
  2500   €0.08    €202.50
  4000   €0.07    €272.00
  8000   €0.07    €520.00</t>
        </r>
      </text>
    </comment>
    <comment ref="N25" authorId="0">
      <text>
        <r>
          <rPr>
            <sz val="8"/>
            <color indexed="81"/>
            <rFont val="Tahoma"/>
            <family val="2"/>
          </rPr>
          <t>Desc: Leistungsinduktivitäten – SMD IND 1.00 uH 0.190 A 200.00 mOhm</t>
        </r>
      </text>
    </comment>
    <comment ref="I26" authorId="0">
      <text>
        <r>
          <rPr>
            <sz val="8"/>
            <color indexed="81"/>
            <rFont val="Tahoma"/>
            <family val="2"/>
          </rPr>
          <t>13867 Auf Lager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€1.37      €1.37
    10   €0.98      €9.80
   100   €0.74     €73.60
   500   €0.64    €321.00
  1000   €0.61    €607.00
  3000   €0.57  €1,698.00
  6000   €0.54  €3,246.00
  9000   €0.51  €4,626.00
 24000   €0.47 €11,232.00</t>
        </r>
      </text>
    </comment>
    <comment ref="N26" authorId="0">
      <text>
        <r>
          <rPr>
            <sz val="8"/>
            <color indexed="81"/>
            <rFont val="Tahoma"/>
            <family val="2"/>
          </rPr>
          <t>Desc: Infrarot-Emitter Green / Red / IR LED 530nm, 655nm, 940nm</t>
        </r>
      </text>
    </comment>
    <comment ref="I27" authorId="0">
      <text>
        <r>
          <rPr>
            <sz val="8"/>
            <color indexed="81"/>
            <rFont val="Tahoma"/>
            <family val="2"/>
          </rPr>
          <t>553 Auf Lager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€6.83      €6.83
    10   €6.27     €62.70
    25   €5.69    €142.25
   100   €5.13    €513.00
   250   €4.86  €1,215.00
  1000   €4.13  €4,130.00</t>
        </r>
      </text>
    </comment>
    <comment ref="N27" authorId="0">
      <text>
        <r>
          <rPr>
            <sz val="8"/>
            <color indexed="81"/>
            <rFont val="Tahoma"/>
            <family val="2"/>
          </rPr>
          <t>Desc: Bluetooth-Module – 802.15.1 nRF54L15 BLE 6.0 module with a chip antenna</t>
        </r>
      </text>
    </comment>
    <comment ref="I28" authorId="0">
      <text>
        <r>
          <rPr>
            <sz val="8"/>
            <color indexed="81"/>
            <rFont val="Tahoma"/>
            <family val="2"/>
          </rPr>
          <t>341560 Auf Lager</t>
        </r>
      </text>
    </comment>
    <comment ref="K2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€0.24      €0.24
    10   €0.14      €1.38
   100   €0.07      €6.80
  1000   €0.06     €60.00
  3000   €0.04    €114.00
  6000   €0.04    €216.00
  9000   €0.03    €306.00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Desc: MOSFETs SOT-23 N-CH LOGIC</t>
        </r>
      </text>
    </comment>
    <comment ref="I29" authorId="0">
      <text>
        <r>
          <rPr>
            <sz val="8"/>
            <color indexed="81"/>
            <rFont val="Tahoma"/>
            <family val="2"/>
          </rPr>
          <t>37456 Auf Lager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€0.12
   100   €0.01      €0.80
  1000   €0.01      €7.00
  5000   €0.01     €25.00
 10000   €0.00     €30.00</t>
        </r>
      </text>
    </comment>
    <comment ref="N29" authorId="0">
      <text>
        <r>
          <rPr>
            <sz val="8"/>
            <color indexed="81"/>
            <rFont val="Tahoma"/>
            <family val="2"/>
          </rPr>
          <t>Desc: Dickfilmwiderstände - SMD 1/8Watt 0ohms Commercial Use</t>
        </r>
      </text>
    </comment>
    <comment ref="I30" authorId="0">
      <text>
        <r>
          <rPr>
            <sz val="8"/>
            <color indexed="81"/>
            <rFont val="Tahoma"/>
            <family val="2"/>
          </rPr>
          <t>1967099 Auf Lager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€0.07
   100   €0.00      €0.30
  5000   €0.00     €10.00
 10000   €0.00     €10.00</t>
        </r>
      </text>
    </comment>
    <comment ref="N30" authorId="0">
      <text>
        <r>
          <rPr>
            <sz val="8"/>
            <color indexed="81"/>
            <rFont val="Tahoma"/>
            <family val="2"/>
          </rPr>
          <t>Desc: Dickfilmwiderstände - SMD 220 OHM 5%</t>
        </r>
      </text>
    </comment>
    <comment ref="I31" authorId="0">
      <text>
        <r>
          <rPr>
            <sz val="8"/>
            <color indexed="81"/>
            <rFont val="Tahoma"/>
            <family val="2"/>
          </rPr>
          <t>104138 Auf Lager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€0.09
   100   €0.01      €0.60
  1000   €0.01      €5.00
 10000   €0.00     €30.00
 20000   €0.00     €40.00</t>
        </r>
      </text>
    </comment>
    <comment ref="N31" authorId="0">
      <text>
        <r>
          <rPr>
            <sz val="8"/>
            <color indexed="81"/>
            <rFont val="Tahoma"/>
            <family val="2"/>
          </rPr>
          <t>Desc: Dickfilmwiderstände - SMD General Purpose Chip Resistor 0402, 4.7kOhms, 1%, 1/16W</t>
        </r>
      </text>
    </comment>
    <comment ref="I32" authorId="0">
      <text>
        <r>
          <rPr>
            <sz val="8"/>
            <color indexed="81"/>
            <rFont val="Tahoma"/>
            <family val="2"/>
          </rPr>
          <t>122320 Auf Lager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€0.07
   100   €0.00      €0.30
 10000   €0.00     €30.00</t>
        </r>
      </text>
    </comment>
    <comment ref="N32" authorId="0">
      <text>
        <r>
          <rPr>
            <sz val="8"/>
            <color indexed="81"/>
            <rFont val="Tahoma"/>
            <family val="2"/>
          </rPr>
          <t>Desc: Dickfilmwiderstände - SMD 5.1K OHM 1%</t>
        </r>
      </text>
    </comment>
    <comment ref="I33" authorId="0">
      <text>
        <r>
          <rPr>
            <sz val="8"/>
            <color indexed="81"/>
            <rFont val="Tahoma"/>
            <family val="2"/>
          </rPr>
          <t>192190 Auf Lager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€0.07
   100   €0.00      €0.40
   500   €0.00      €1.50
 10000   €0.00     €30.00</t>
        </r>
      </text>
    </comment>
    <comment ref="N33" authorId="0">
      <text>
        <r>
          <rPr>
            <sz val="8"/>
            <color indexed="81"/>
            <rFont val="Tahoma"/>
            <family val="2"/>
          </rPr>
          <t>Desc: Dickfilmwiderstände - SMD 10K OHM 5%</t>
        </r>
      </text>
    </comment>
    <comment ref="I34" authorId="0">
      <text>
        <r>
          <rPr>
            <sz val="8"/>
            <color indexed="81"/>
            <rFont val="Tahoma"/>
            <family val="2"/>
          </rPr>
          <t>4415 Auf Lager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€0.46      €0.46
    10   €0.45      €4.52
    50   €0.42     €21.00
   100   €0.38     €38.20
   250   €0.34     €86.00
   400   €0.31    €124.40
   800   €0.27    €216.80</t>
        </r>
      </text>
    </comment>
    <comment ref="N34" authorId="0">
      <text>
        <r>
          <rPr>
            <sz val="8"/>
            <color indexed="81"/>
            <rFont val="Tahoma"/>
            <family val="2"/>
          </rPr>
          <t>Desc: Sensorschalter Tact Switch SMT 9.5mm</t>
        </r>
      </text>
    </comment>
    <comment ref="I35" authorId="0">
      <text>
        <r>
          <rPr>
            <sz val="8"/>
            <color indexed="81"/>
            <rFont val="Tahoma"/>
            <family val="2"/>
          </rPr>
          <t>4415 Auf Lager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€0.46      €0.46
    10   €0.45      €4.52
    50   €0.42     €21.00
   100   €0.38     €38.20
   250   €0.34     €86.00
   400   €0.31    €124.40
   800   €0.27    €216.80</t>
        </r>
      </text>
    </comment>
    <comment ref="N35" authorId="0">
      <text>
        <r>
          <rPr>
            <sz val="8"/>
            <color indexed="81"/>
            <rFont val="Tahoma"/>
            <family val="2"/>
          </rPr>
          <t>Desc: Sensorschalter Tact Switch SMT 9.5mm</t>
        </r>
      </text>
    </comment>
    <comment ref="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€0.26      €0.26
    10   €0.22      €2.23
   100   €0.18     €18.30
   250   €0.16     €41.00
  1000   €0.16    €157.00
  2500   €0.14    €360.00
  4500   €0.14    €648.00
  9000   €0.14  €1,251.00</t>
        </r>
      </text>
    </comment>
    <comment ref="N36" authorId="0">
      <text>
        <r>
          <rPr>
            <sz val="8"/>
            <color indexed="81"/>
            <rFont val="Tahoma"/>
            <family val="2"/>
          </rPr>
          <t>Desc: Sockel &amp; Kabelgehäuse 2P WTB VERT HDR PICO EZMATE</t>
        </r>
      </text>
    </comment>
    <comment ref="I37" authorId="0">
      <text>
        <r>
          <rPr>
            <sz val="8"/>
            <color indexed="81"/>
            <rFont val="Tahoma"/>
            <family val="2"/>
          </rPr>
          <t>54641 Auf Lager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€0.67      €0.67
    10   €0.54      €5.44
    25   €0.47     €11.77
   100   €0.44     €44.30
   250   €0.41    €102.25
   500   €0.37    €184.00
   800   €0.33    €267.20
  4000   €0.32  €1,280.00</t>
        </r>
      </text>
    </comment>
    <comment ref="N37" authorId="0">
      <text>
        <r>
          <rPr>
            <sz val="8"/>
            <color indexed="81"/>
            <rFont val="Tahoma"/>
            <family val="2"/>
          </rPr>
          <t>Desc: USB-Stecker USB Type C, 2.0 SMT PCB Top Mnt 1.20mm</t>
        </r>
      </text>
    </comment>
    <comment ref="I38" authorId="0">
      <text>
        <r>
          <rPr>
            <sz val="8"/>
            <color indexed="81"/>
            <rFont val="Tahoma"/>
            <family val="2"/>
          </rPr>
          <t>1813 Auf Lager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€2.78      €2.78
    10   €2.63     €26.30
    50   €2.35    €117.50
   100   €2.06    €206.00
   500   €1.73    €865.00
   750   €1.59  €1,192.50</t>
        </r>
      </text>
    </comment>
    <comment ref="N38" authorId="0">
      <text>
        <r>
          <rPr>
            <sz val="8"/>
            <color indexed="81"/>
            <rFont val="Tahoma"/>
            <family val="2"/>
          </rPr>
          <t>Desc: Sockel &amp; Kabelgehäuse WR-PHD 1.27mm SMT St SMT 10P 2Row H=1.8m</t>
        </r>
      </text>
    </comment>
    <comment ref="I39" authorId="0">
      <text>
        <r>
          <rPr>
            <sz val="8"/>
            <color indexed="81"/>
            <rFont val="Tahoma"/>
            <family val="2"/>
          </rPr>
          <t>7703 Auf Lager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€1.25      €1.25
    10   €0.89      €8.94
    50   €0.87     €43.45
   250   €0.86    €214.25
   500   €0.84    €422.50
  1000   €0.83    €833.00
  2500   €0.83  €2,080.00
  5000   €0.73  €3,635.00</t>
        </r>
      </text>
    </comment>
    <comment ref="N39" authorId="0">
      <text>
        <r>
          <rPr>
            <sz val="8"/>
            <color indexed="81"/>
            <rFont val="Tahoma"/>
            <family val="2"/>
          </rPr>
          <t>Desc: Quarze 32.768 KHz 6 pF SMD ECX-1210 +/-20ppm 90k OHM -40C - 85C 1210 2-SMD</t>
        </r>
      </text>
    </comment>
    <comment ref="G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1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<sst xmlns="http://schemas.openxmlformats.org/spreadsheetml/2006/main" count="658" uniqueCount="288">
  <si>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</si>
  <si>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</si>
  <si>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</si>
  <si>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</si>
  <si>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</si>
  <si>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</si>
  <si>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</si>
  <si>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</si>
  <si>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</si>
  <si>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</si>
  <si>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4</t>
  </si>
  <si>
    <t>C406 C414 C415 C416</t>
  </si>
  <si>
    <t>100n</t>
  </si>
  <si>
    <t>https://www.yageogroup.com/content/datasheet/asset/file/KEM_C1002_X7R_SMD</t>
  </si>
  <si>
    <t>C_0402_1005Metric</t>
  </si>
  <si>
    <t>Unpolarized capacitor, small symbol</t>
  </si>
  <si>
    <t>KEMET</t>
  </si>
  <si>
    <t>C0402C104K4RAC7411</t>
  </si>
  <si>
    <t>2</t>
  </si>
  <si>
    <t>C402 C404</t>
  </si>
  <si>
    <t>1u</t>
  </si>
  <si>
    <t>https://www.mouser.de/datasheet/2/40/cx5r-2835979.pdf</t>
  </si>
  <si>
    <t>C_0603_1608Metric</t>
  </si>
  <si>
    <t>KYOCERA AVX</t>
  </si>
  <si>
    <t>06035C105MAT2A</t>
  </si>
  <si>
    <t>3</t>
  </si>
  <si>
    <t>C408 C409 C410 C413</t>
  </si>
  <si>
    <t>04023D105KAT2A</t>
  </si>
  <si>
    <t>C401</t>
  </si>
  <si>
    <t>2u2</t>
  </si>
  <si>
    <t>06033D225MAT2A</t>
  </si>
  <si>
    <t>5</t>
  </si>
  <si>
    <t>C403 C405 C407</t>
  </si>
  <si>
    <t>4u7</t>
  </si>
  <si>
    <t>https://www.mouser.de/datasheet/2/396/mlcc02_e-1307760.pdf</t>
  </si>
  <si>
    <t>TAIYO YUDEN</t>
  </si>
  <si>
    <t>LMK107BJ475KA-T</t>
  </si>
  <si>
    <t>6</t>
  </si>
  <si>
    <t>C411 C412</t>
  </si>
  <si>
    <t>10u</t>
  </si>
  <si>
    <t>AMK105CBJ106MV-F</t>
  </si>
  <si>
    <t>7</t>
  </si>
  <si>
    <t>C417</t>
  </si>
  <si>
    <t>22u</t>
  </si>
  <si>
    <t>https://www.mouser.de/datasheet/2/396/Taiyo_Yuden_2_8_2024_MEASJ063BB5225MF1A01_SS__1_-3395906.pdf</t>
  </si>
  <si>
    <t>MEASP105CC6226MF1A01</t>
  </si>
  <si>
    <t>8</t>
  </si>
  <si>
    <t>D401</t>
  </si>
  <si>
    <t>STATUS</t>
  </si>
  <si>
    <t>https://www.mouser.de/datasheet/2/678/hsmq_c170_t0000_ds100-2498198.pdf</t>
  </si>
  <si>
    <t>LED_0805_2012Metric_Pad1.15x1.40mm_HandSolder</t>
  </si>
  <si>
    <t>Light emitting diode</t>
  </si>
  <si>
    <t>Broadcom / Avago</t>
  </si>
  <si>
    <t>HSMQ-C170-T0000</t>
  </si>
  <si>
    <t>9</t>
  </si>
  <si>
    <t>D402 D403</t>
  </si>
  <si>
    <t>VEMD8082</t>
  </si>
  <si>
    <t>https://www.vishay.com/docs/80381/vemd8082.pdf</t>
  </si>
  <si>
    <t>VEMD808x</t>
  </si>
  <si>
    <t>Photodiode</t>
  </si>
  <si>
    <t>Vishay Semiconductors</t>
  </si>
  <si>
    <t>10</t>
  </si>
  <si>
    <t>IC406</t>
  </si>
  <si>
    <t>LIS2DS12</t>
  </si>
  <si>
    <t>https://www.st.com/resource/en/datasheet/lis2ds12.pdf</t>
  </si>
  <si>
    <t>LGA-12_2x2mm_P0.5mm</t>
  </si>
  <si>
    <t/>
  </si>
  <si>
    <t>STMicroelectronics</t>
  </si>
  <si>
    <t>11</t>
  </si>
  <si>
    <t>IC404</t>
  </si>
  <si>
    <t>MAX32664</t>
  </si>
  <si>
    <t>https://www.analog.com/media/en/technical-documentation/data-sheets/MAX32664.pdf</t>
  </si>
  <si>
    <t>MAX32664GTG</t>
  </si>
  <si>
    <t>Analog Devices / Maxim Integrated</t>
  </si>
  <si>
    <t>MAX32664GTGC+</t>
  </si>
  <si>
    <t>12</t>
  </si>
  <si>
    <t>IC405</t>
  </si>
  <si>
    <t>MAX86141</t>
  </si>
  <si>
    <t>https://www.analog.com/media/en/technical-documentation/data-sheets/max86140-max86141.pdf</t>
  </si>
  <si>
    <t>THIN-WLP-20_2.228x1.967mm_P0.4mm</t>
  </si>
  <si>
    <t>MAX86141ENP+T</t>
  </si>
  <si>
    <t>13</t>
  </si>
  <si>
    <t>IC403</t>
  </si>
  <si>
    <t>MCP73832-2-OT</t>
  </si>
  <si>
    <t>http://ww1.microchip.com/downloads/en/DeviceDoc/20001984g.pdf</t>
  </si>
  <si>
    <t>SOT-23-5</t>
  </si>
  <si>
    <t>Single cell, Li-Ion/Li-Po charge management controller, 4.20V, Open-Drain Status Output, in SOT23-5 package</t>
  </si>
  <si>
    <t>Microchip Technology / Atmel</t>
  </si>
  <si>
    <t>MCP73832T-2ACI/OT</t>
  </si>
  <si>
    <t>14</t>
  </si>
  <si>
    <t>IC401</t>
  </si>
  <si>
    <t>MIC5365-1.8</t>
  </si>
  <si>
    <t>https://ww1.microchip.com/downloads/en/DeviceDoc/mic5365.pdf</t>
  </si>
  <si>
    <t>Microchip Technology</t>
  </si>
  <si>
    <t>MIC5365-1.8YD5-TR</t>
  </si>
  <si>
    <t>15</t>
  </si>
  <si>
    <t>IC402</t>
  </si>
  <si>
    <t>TPS61240</t>
  </si>
  <si>
    <t>https://www.ti.com/lit/ds/symlink/tps61240.pdf?ts=1729943439201&amp;ref_url=https%253A%252F%252Fwww.mouser.de%252F</t>
  </si>
  <si>
    <t>DSBGA-6_0.886x1.288mm_2x3_P0.4mm</t>
  </si>
  <si>
    <t>Texas Instruments</t>
  </si>
  <si>
    <t>TPS61240YFFR</t>
  </si>
  <si>
    <t>16</t>
  </si>
  <si>
    <t>L401</t>
  </si>
  <si>
    <t>https://www.mouser.de/datasheet/2/3/ASMCI_0603-3318216.pdf</t>
  </si>
  <si>
    <t>L_0603_1608Metric</t>
  </si>
  <si>
    <t>Inductor</t>
  </si>
  <si>
    <t>ABRACON</t>
  </si>
  <si>
    <t>ASMCI-0603-1R0M-T</t>
  </si>
  <si>
    <t>17</t>
  </si>
  <si>
    <t>LED401</t>
  </si>
  <si>
    <t>SFH7016</t>
  </si>
  <si>
    <t>https://look.ams-osram.com/m/1a73f8d425cfcc40/original/SFH-7016.pdf</t>
  </si>
  <si>
    <t>ams OSRAM</t>
  </si>
  <si>
    <t>SFH 7016</t>
  </si>
  <si>
    <t>18</t>
  </si>
  <si>
    <t>M401</t>
  </si>
  <si>
    <t>BM15C</t>
  </si>
  <si>
    <t>https://www.mouser.de/datasheet/2/915/BM15C_2bProduct_2bSpecifications-3555318.pdf</t>
  </si>
  <si>
    <t>nRF54L module with chip antenna</t>
  </si>
  <si>
    <t>Fanstel</t>
  </si>
  <si>
    <t>19</t>
  </si>
  <si>
    <t>Q401</t>
  </si>
  <si>
    <t>BSS138</t>
  </si>
  <si>
    <t>https://www.onsemi.com/pub/Collateral/BSS138-D.PDF</t>
  </si>
  <si>
    <t>SOT-23</t>
  </si>
  <si>
    <t>50V Vds, 0.22A Id, N-Channel MOSFET, SOT-23</t>
  </si>
  <si>
    <t>onsemi / Fairchild</t>
  </si>
  <si>
    <t>20</t>
  </si>
  <si>
    <t>R403</t>
  </si>
  <si>
    <t>0R</t>
  </si>
  <si>
    <t>~</t>
  </si>
  <si>
    <t>R_0805_2012Metric</t>
  </si>
  <si>
    <t>Resistor, small symbol</t>
  </si>
  <si>
    <t>Vishay</t>
  </si>
  <si>
    <t>CRCW08050000Z0EBC</t>
  </si>
  <si>
    <t>21</t>
  </si>
  <si>
    <t>R401</t>
  </si>
  <si>
    <t>220R</t>
  </si>
  <si>
    <t>R_0402_1005Metric</t>
  </si>
  <si>
    <t>Bourns</t>
  </si>
  <si>
    <t>CR0402-JW-221GLF</t>
  </si>
  <si>
    <t>22</t>
  </si>
  <si>
    <t>R409</t>
  </si>
  <si>
    <t>4k7</t>
  </si>
  <si>
    <t>YAGEO</t>
  </si>
  <si>
    <t>RC0402FR-7D4K7L</t>
  </si>
  <si>
    <t>23</t>
  </si>
  <si>
    <t>R404 R405</t>
  </si>
  <si>
    <t>5k1</t>
  </si>
  <si>
    <t>CR0402-FX-5101GLF</t>
  </si>
  <si>
    <t>24</t>
  </si>
  <si>
    <t>R402 R406 R407 R408</t>
  </si>
  <si>
    <t>10k</t>
  </si>
  <si>
    <t>CR0402-JW-103GLF</t>
  </si>
  <si>
    <t>25</t>
  </si>
  <si>
    <t>SW402</t>
  </si>
  <si>
    <t>BTN1</t>
  </si>
  <si>
    <t>https://www.we-online.com/components/products/datasheet/430182095816.pdf</t>
  </si>
  <si>
    <t>WS-TASV-6x6</t>
  </si>
  <si>
    <t>Double Pole Single Throw (DPST) Switch</t>
  </si>
  <si>
    <t>Wurth Elektronik</t>
  </si>
  <si>
    <t>430182095816</t>
  </si>
  <si>
    <t>26</t>
  </si>
  <si>
    <t>SW401</t>
  </si>
  <si>
    <t>RESET</t>
  </si>
  <si>
    <t>27</t>
  </si>
  <si>
    <t>X402</t>
  </si>
  <si>
    <t>BATTERY</t>
  </si>
  <si>
    <t>https://www.molex.com/en-us/products/part-detail-pdf/781710002?display=pdf</t>
  </si>
  <si>
    <t>78171-0002</t>
  </si>
  <si>
    <t>Generic connector, single row, 01x02, script generated (kicad-library-utils/schlib/autogen/connector/)</t>
  </si>
  <si>
    <t>Molex</t>
  </si>
  <si>
    <t>28</t>
  </si>
  <si>
    <t>X401</t>
  </si>
  <si>
    <t>CHARGE</t>
  </si>
  <si>
    <t>https://www.usb.org/sites/default/files/documents/usb_type-c.zip</t>
  </si>
  <si>
    <t>USB_C_Receptacle_GCT_USB4105-xx-A_16P_TopMnt_Horizontal</t>
  </si>
  <si>
    <t>USB 2.0-only 14P Type-C Receptacle connector</t>
  </si>
  <si>
    <t>GCT</t>
  </si>
  <si>
    <t>USB4105-GF-A-120</t>
  </si>
  <si>
    <t>29</t>
  </si>
  <si>
    <t>X403</t>
  </si>
  <si>
    <t>DEBUG</t>
  </si>
  <si>
    <t>http://infocenter.arm.com/help/topic/com.arm.doc.ddi0314h/DDI0314H_coresight_components_trm.pdf</t>
  </si>
  <si>
    <t>PinHeader_2x05_P1.27mm_Vertical</t>
  </si>
  <si>
    <t>Cortex Debug Connector, standard ARM Cortex-M SWD and JTAG interface</t>
  </si>
  <si>
    <t>623310235521</t>
  </si>
  <si>
    <t>30</t>
  </si>
  <si>
    <t>Y401</t>
  </si>
  <si>
    <t>32kHz</t>
  </si>
  <si>
    <t>https://www.mouser.de/datasheet/2/122/ECX_1210-2400578.pdf</t>
  </si>
  <si>
    <t>ECS_ECX-1210</t>
  </si>
  <si>
    <t>Two pin crystal</t>
  </si>
  <si>
    <t>ECS</t>
  </si>
  <si>
    <t>ECS-.327-6-1210-TR</t>
  </si>
  <si>
    <t>Bill of Materials</t>
  </si>
  <si>
    <t>Schematic:</t>
  </si>
  <si>
    <t>ZSWatch-Heartrate-DevKit</t>
  </si>
  <si>
    <t>Variant:</t>
  </si>
  <si>
    <t>RELEASED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</si>
  <si>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</si>
  <si>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</si>
  <si>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</si>
  <si>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</si>
  <si>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</si>
  <si>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</si>
  <si>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</si>
  <si>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48 (45 SMD/ 3 THT)</t>
  </si>
  <si>
    <t>Fitted Components:</t>
  </si>
  <si>
    <t>45 (44 SMD/ 1 THT)</t>
  </si>
  <si>
    <t>Number of PCBs:</t>
  </si>
  <si>
    <t>Total Components:</t>
  </si>
  <si>
    <t>J401</t>
  </si>
  <si>
    <t>I2C</t>
  </si>
  <si>
    <t>PinHeader_1x04_P2.54mm_Vertical</t>
  </si>
  <si>
    <t>Generic connector, single row, 01x04, script generated (kicad-library-utils/schlib/autogen/connector/)</t>
  </si>
  <si>
    <t>J402</t>
  </si>
  <si>
    <t>SPI</t>
  </si>
  <si>
    <t>PinHeader_1x07_P2.54mm_Vertical</t>
  </si>
  <si>
    <t>Generic connector, single row, 01x07, script generated (kicad-library-utils/schlib/autogen/connector/)</t>
  </si>
  <si>
    <t>R410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</si>
  <si>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</si>
  <si>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</si>
  <si>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</si>
  <si>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</si>
  <si>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</si>
  <si>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</si>
  <si>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</si>
  <si>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</si>
  <si>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</si>
  <si>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</si>
  <si>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</si>
  <si>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80-C0402C104K4R7411</t>
  </si>
  <si>
    <t>581-06035C105MAT2A</t>
  </si>
  <si>
    <t>581-04023D105KAT2A</t>
  </si>
  <si>
    <t>581-06033D225MAT2A</t>
  </si>
  <si>
    <t>963-LMK107BJ475KA-T</t>
  </si>
  <si>
    <t>963-AMK105CBJ106MV-F</t>
  </si>
  <si>
    <t>963-MEASP105CC62261A</t>
  </si>
  <si>
    <t>630-HSMQ-C170-T0000</t>
  </si>
  <si>
    <t>78-VEMD8082</t>
  </si>
  <si>
    <t>511-LIS2DS12TR</t>
  </si>
  <si>
    <t>700-MAX32664GTGC+</t>
  </si>
  <si>
    <t>700-MAX86141ENP+T</t>
  </si>
  <si>
    <t>579-MCP73832T-2ACIOT</t>
  </si>
  <si>
    <t>998-MIC5365-1.8YD5TR</t>
  </si>
  <si>
    <t>595-TPS61240YFFR</t>
  </si>
  <si>
    <t>815-ASMCI-0603-1R0MT</t>
  </si>
  <si>
    <t>720-SFH7016</t>
  </si>
  <si>
    <t>308-BM15C</t>
  </si>
  <si>
    <t>512-BSS138</t>
  </si>
  <si>
    <t>71-CRCW08050000Z0EBC</t>
  </si>
  <si>
    <t>652-CR0402JW-221GLF</t>
  </si>
  <si>
    <t>603-RC0402FR-7D4K7L</t>
  </si>
  <si>
    <t>652-CR0402FX-5101GLF</t>
  </si>
  <si>
    <t>652-CR0402-JW-103GLF</t>
  </si>
  <si>
    <t>710-430182095816</t>
  </si>
  <si>
    <t>538-78171-0002</t>
  </si>
  <si>
    <t>NonStk</t>
  </si>
  <si>
    <t>640-USB4105-GF-A-120</t>
  </si>
  <si>
    <t>710-623310235521</t>
  </si>
  <si>
    <t>520-.327-6-1210-TR</t>
  </si>
  <si>
    <t>Buy here</t>
  </si>
  <si>
    <t>Total Purchase:</t>
  </si>
  <si>
    <t>Purchase description:</t>
  </si>
  <si>
    <t>USD($)/EUR(€):</t>
  </si>
  <si>
    <t>Board Qty:</t>
  </si>
  <si>
    <t>Total Cost:</t>
  </si>
  <si>
    <t>Unit Cost:</t>
  </si>
  <si>
    <t>Created:</t>
  </si>
  <si>
    <t>2025-09-06 09:58:44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</si>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</sst>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1" applyAlignment="1" applyProtection="1"/>
    <xf numFmtId="0" fontId="0" fillId="0" borderId="0" xfId="0" applyAlignment="1">
      <alignment vertical="top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3" fillId="14" borderId="0" xfId="0" applyFont="1" applyFill="1"/>
    <xf numFmtId="0" fontId="13" fillId="15" borderId="0" xfId="0" applyFont="1" applyFill="1"/>
    <xf numFmtId="0" fontId="0" fillId="16" borderId="0" xfId="0" applyFill="1"/>
    <xf numFmtId="0" fontId="14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4040"/>
        </patternFill>
      </fill>
    </dxf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40/cx5r-2835979.pdf" TargetMode="External"/><Relationship Id="rId5" Type="http://schemas.openxmlformats.org/officeDocument/2006/relationships/hyperlink" Target="https://www.mouser.de/datasheet/2/396/mlcc02_e-1307760.pdf" TargetMode="External"/><Relationship Id="rId6" Type="http://schemas.openxmlformats.org/officeDocument/2006/relationships/hyperlink" Target="https://www.mouser.de/datasheet/2/396/mlcc02_e-1307760.pdf" TargetMode="External"/><Relationship Id="rId7" Type="http://schemas.openxmlformats.org/officeDocument/2006/relationships/hyperlink" Target="https://www.mouser.de/datasheet/2/396/Taiyo_Yuden_2_8_2024_MEASJ063BB5225MF1A01_SS__1_-3395906.pdf" TargetMode="External"/><Relationship Id="rId8" Type="http://schemas.openxmlformats.org/officeDocument/2006/relationships/hyperlink" Target="https://www.mouser.de/datasheet/2/678/hsmq_c170_t0000_ds100-2498198.pdf" TargetMode="External"/><Relationship Id="rId9" Type="http://schemas.openxmlformats.org/officeDocument/2006/relationships/hyperlink" Target="https://www.vishay.com/docs/80381/vemd8082.pdf" TargetMode="External"/><Relationship Id="rId10" Type="http://schemas.openxmlformats.org/officeDocument/2006/relationships/hyperlink" Target="https://www.st.com/resource/en/datasheet/lis2ds12.pdf" TargetMode="External"/><Relationship Id="rId11" Type="http://schemas.openxmlformats.org/officeDocument/2006/relationships/hyperlink" Target="https://www.analog.com/media/en/technical-documentation/data-sheets/MAX32664.pdf" TargetMode="External"/><Relationship Id="rId12" Type="http://schemas.openxmlformats.org/officeDocument/2006/relationships/hyperlink" Target="https://www.analog.com/media/en/technical-documentation/data-sheets/max86140-max86141.pdf" TargetMode="External"/><Relationship Id="rId13" Type="http://schemas.openxmlformats.org/officeDocument/2006/relationships/hyperlink" Target="http://ww1.microchip.com/downloads/en/DeviceDoc/20001984g.pdf" TargetMode="External"/><Relationship Id="rId14" Type="http://schemas.openxmlformats.org/officeDocument/2006/relationships/hyperlink" Target="https://ww1.microchip.com/downloads/en/DeviceDoc/mic5365.pdf" TargetMode="External"/><Relationship Id="rId15" Type="http://schemas.openxmlformats.org/officeDocument/2006/relationships/hyperlink" Target="https://www.ti.com/lit/ds/symlink/tps61240.pdf?ts=1729943439201&amp;ref_url=https%253A%252F%252Fwww.mouser.de%252F" TargetMode="External"/><Relationship Id="rId16" Type="http://schemas.openxmlformats.org/officeDocument/2006/relationships/hyperlink" Target="https://www.mouser.de/datasheet/2/3/ASMCI_0603-3318216.pdf" TargetMode="External"/><Relationship Id="rId17" Type="http://schemas.openxmlformats.org/officeDocument/2006/relationships/hyperlink" Target="https://look.ams-osram.com/m/1a73f8d425cfcc40/original/SFH-7016.pdf" TargetMode="External"/><Relationship Id="rId18" Type="http://schemas.openxmlformats.org/officeDocument/2006/relationships/hyperlink" Target="https://www.mouser.de/datasheet/2/915/BM15C_2bProduct_2bSpecifications-3555318.pdf" TargetMode="External"/><Relationship Id="rId19" Type="http://schemas.openxmlformats.org/officeDocument/2006/relationships/hyperlink" Target="https://www.onsemi.com/pub/Collateral/BSS138-D.PDF" TargetMode="External"/><Relationship Id="rId20" Type="http://schemas.openxmlformats.org/officeDocument/2006/relationships/hyperlink" Target="https://www.we-online.com/components/products/datasheet/430182095816.pdf" TargetMode="External"/><Relationship Id="rId21" Type="http://schemas.openxmlformats.org/officeDocument/2006/relationships/hyperlink" Target="https://www.we-online.com/components/products/datasheet/430182095816.pdf" TargetMode="External"/><Relationship Id="rId22" Type="http://schemas.openxmlformats.org/officeDocument/2006/relationships/hyperlink" Target="https://www.molex.com/en-us/products/part-detail-pdf/781710002?display=pdf" TargetMode="External"/><Relationship Id="rId23" Type="http://schemas.openxmlformats.org/officeDocument/2006/relationships/hyperlink" Target="https://www.usb.org/sites/default/files/documents/usb_type-c.zip" TargetMode="External"/><Relationship Id="rId24" Type="http://schemas.openxmlformats.org/officeDocument/2006/relationships/hyperlink" Target="http://infocenter.arm.com/help/topic/com.arm.doc.ddi0314h/DDI0314H_coresight_components_trm.pdf" TargetMode="External"/><Relationship Id="rId25" Type="http://schemas.openxmlformats.org/officeDocument/2006/relationships/hyperlink" Target="https://www.mouser.de/datasheet/2/122/ECX_1210-2400578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ProductDetail/KEMET/C0402C104K4RAC7411?qs=GedzDrHbfJPMv36lRRfk4g%3D%3D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ProductDetail/KYOCERA-AVX/06035C105MAT2A?qs=%252BdQmOuGyFcHMsevPtc6OZQ%3D%3D" TargetMode="External"/><Relationship Id="rId5" Type="http://schemas.openxmlformats.org/officeDocument/2006/relationships/hyperlink" Target="https://www.mouser.de/datasheet/2/40/cx5r-2835979.pdf" TargetMode="External"/><Relationship Id="rId6" Type="http://schemas.openxmlformats.org/officeDocument/2006/relationships/hyperlink" Target="https://www.mouser.de/ProductDetail/KYOCERA-AVX/04023D105KAT2A?qs=%252BdQmOuGyFcETexelcKkD5g%3D%3D" TargetMode="External"/><Relationship Id="rId7" Type="http://schemas.openxmlformats.org/officeDocument/2006/relationships/hyperlink" Target="https://www.mouser.de/datasheet/2/40/cx5r-2835979.pdf" TargetMode="External"/><Relationship Id="rId8" Type="http://schemas.openxmlformats.org/officeDocument/2006/relationships/hyperlink" Target="https://www.mouser.de/ProductDetail/KYOCERA-AVX/06033D225MAT2A?qs=%252BdQmOuGyFcGllV0VA4zyxA%3D%3D" TargetMode="External"/><Relationship Id="rId9" Type="http://schemas.openxmlformats.org/officeDocument/2006/relationships/hyperlink" Target="https://www.mouser.de/datasheet/2/396/mlcc02_e-1307760.pdf" TargetMode="External"/><Relationship Id="rId10" Type="http://schemas.openxmlformats.org/officeDocument/2006/relationships/hyperlink" Target="https://www.mouser.de/ProductDetail/TAIYO-YUDEN/LMK107BJ475KA-T?qs=PzICbMaShUfCoRlxZeLF0g%3D%3D" TargetMode="External"/><Relationship Id="rId11" Type="http://schemas.openxmlformats.org/officeDocument/2006/relationships/hyperlink" Target="https://www.mouser.de/datasheet/2/396/mlcc02_e-1307760.pdf" TargetMode="External"/><Relationship Id="rId12" Type="http://schemas.openxmlformats.org/officeDocument/2006/relationships/hyperlink" Target="https://www.mouser.de/ProductDetail/TAIYO-YUDEN/AMK105CBJ106MV-F?qs=%252BAZVS4b%2FkgI77AOsWheahg%3D%3D" TargetMode="External"/><Relationship Id="rId13" Type="http://schemas.openxmlformats.org/officeDocument/2006/relationships/hyperlink" Target="https://www.mouser.de/datasheet/2/396/Taiyo_Yuden_2_8_2024_MEASJ063BB5225MF1A01_SS__1_-3395906.pdf" TargetMode="External"/><Relationship Id="rId14" Type="http://schemas.openxmlformats.org/officeDocument/2006/relationships/hyperlink" Target="https://www.mouser.de/ProductDetail/TAIYO-YUDEN/MEASP105CC6226MF1A01?qs=Z%252BL2brAPG1KV3mcbdIwFRw%3D%3D" TargetMode="External"/><Relationship Id="rId15" Type="http://schemas.openxmlformats.org/officeDocument/2006/relationships/hyperlink" Target="https://www.mouser.de/datasheet/2/678/hsmq_c170_t0000_ds100-2498198.pdf" TargetMode="External"/><Relationship Id="rId16" Type="http://schemas.openxmlformats.org/officeDocument/2006/relationships/hyperlink" Target="https://www.mouser.de/ProductDetail/Broadcom-Avago/HSMQ-C170-T0000?qs=Mv7BduZupUglySblHICXPQ%3D%3D" TargetMode="External"/><Relationship Id="rId17" Type="http://schemas.openxmlformats.org/officeDocument/2006/relationships/hyperlink" Target="https://www.vishay.com/docs/80381/vemd8082.pdf" TargetMode="External"/><Relationship Id="rId18" Type="http://schemas.openxmlformats.org/officeDocument/2006/relationships/hyperlink" Target="https://www.mouser.de/ProductDetail/Vishay-Semiconductors/VEMD8082?qs=wT7LY0lnAe3fxl16Bep9bQ%3D%3D" TargetMode="External"/><Relationship Id="rId19" Type="http://schemas.openxmlformats.org/officeDocument/2006/relationships/hyperlink" Target="https://www.st.com/resource/en/datasheet/lis2ds12.pdf" TargetMode="External"/><Relationship Id="rId20" Type="http://schemas.openxmlformats.org/officeDocument/2006/relationships/hyperlink" Target="https://www.mouser.de/ProductDetail/STMicroelectronics/LIS2DS12TR?qs=mKNKSX85ZJf4peFh7vcR%2Fw%3D%3D" TargetMode="External"/><Relationship Id="rId21" Type="http://schemas.openxmlformats.org/officeDocument/2006/relationships/hyperlink" Target="https://www.analog.com/media/en/technical-documentation/data-sheets/MAX32664.pdf" TargetMode="External"/><Relationship Id="rId22" Type="http://schemas.openxmlformats.org/officeDocument/2006/relationships/hyperlink" Target="https://www.mouser.de/ProductDetail/Analog-Devices-Maxim-Integrated/MAX32664GTGC%2b?qs=vmHwEFxEFR%252B4L9bBONurNg%3D%3D" TargetMode="External"/><Relationship Id="rId23" Type="http://schemas.openxmlformats.org/officeDocument/2006/relationships/hyperlink" Target="https://www.analog.com/media/en/technical-documentation/data-sheets/max86140-max86141.pdf" TargetMode="External"/><Relationship Id="rId24" Type="http://schemas.openxmlformats.org/officeDocument/2006/relationships/hyperlink" Target="https://www.mouser.de/ProductDetail/Analog-Devices-Maxim-Integrated/MAX86141ENP%2bT?qs=1mbolxNpo8eXAkUx4%252BsdhQ%3D%3D" TargetMode="External"/><Relationship Id="rId25" Type="http://schemas.openxmlformats.org/officeDocument/2006/relationships/hyperlink" Target="http://ww1.microchip.com/downloads/en/DeviceDoc/20001984g.pdf" TargetMode="External"/><Relationship Id="rId26" Type="http://schemas.openxmlformats.org/officeDocument/2006/relationships/hyperlink" Target="https://www.mouser.de/ProductDetail/Microchip-Technology/MCP73832T-2ACI-OT?qs=yUQqVecv4qscF06jTRYroA%3D%3D" TargetMode="External"/><Relationship Id="rId27" Type="http://schemas.openxmlformats.org/officeDocument/2006/relationships/hyperlink" Target="https://ww1.microchip.com/downloads/en/DeviceDoc/mic5365.pdf" TargetMode="External"/><Relationship Id="rId28" Type="http://schemas.openxmlformats.org/officeDocument/2006/relationships/hyperlink" Target="https://www.mouser.de/ProductDetail/Microchip-Technology/MIC5365-1.8YD5-TR?qs=U6T8BxXiZAVg0QgzW6KbsQ%3D%3D" TargetMode="External"/><Relationship Id="rId29" Type="http://schemas.openxmlformats.org/officeDocument/2006/relationships/hyperlink" Target="https://www.ti.com/lit/ds/symlink/tps61240.pdf?ts=1729943439201&amp;ref_url=https%253A%252F%252Fwww.mouser.de%252F" TargetMode="External"/><Relationship Id="rId30" Type="http://schemas.openxmlformats.org/officeDocument/2006/relationships/hyperlink" Target="https://www.mouser.de/ProductDetail/Texas-Instruments/TPS61240YFFR?qs=X4N6sOTYzkjHqEAjXIDjqw%3D%3D" TargetMode="External"/><Relationship Id="rId31" Type="http://schemas.openxmlformats.org/officeDocument/2006/relationships/hyperlink" Target="https://www.mouser.de/datasheet/2/3/ASMCI_0603-3318216.pdf" TargetMode="External"/><Relationship Id="rId32" Type="http://schemas.openxmlformats.org/officeDocument/2006/relationships/hyperlink" Target="https://www.mouser.de/ProductDetail/ABRACON/ASMCI-0603-1R0M-T?qs=BLmuIjeT3qHB9ZnMnZZWSw%3D%3D" TargetMode="External"/><Relationship Id="rId33" Type="http://schemas.openxmlformats.org/officeDocument/2006/relationships/hyperlink" Target="https://look.ams-osram.com/m/1a73f8d425cfcc40/original/SFH-7016.pdf" TargetMode="External"/><Relationship Id="rId34" Type="http://schemas.openxmlformats.org/officeDocument/2006/relationships/hyperlink" Target="https://www.mouser.de/ProductDetail/ams-OSRAM/SFH-7016?qs=OTrKUuiFdkaz7DXJqRo6mw%3D%3D" TargetMode="External"/><Relationship Id="rId35" Type="http://schemas.openxmlformats.org/officeDocument/2006/relationships/hyperlink" Target="https://www.mouser.de/datasheet/2/915/BM15C_2bProduct_2bSpecifications-3555318.pdf" TargetMode="External"/><Relationship Id="rId36" Type="http://schemas.openxmlformats.org/officeDocument/2006/relationships/hyperlink" Target="https://www.mouser.de/ProductDetail/Fanstel/BM15C?qs=NeOn4crkEuu7N3HIzMdEBg%3D%3D" TargetMode="External"/><Relationship Id="rId37" Type="http://schemas.openxmlformats.org/officeDocument/2006/relationships/hyperlink" Target="https://www.onsemi.com/pub/Collateral/BSS138-D.PDF" TargetMode="External"/><Relationship Id="rId38" Type="http://schemas.openxmlformats.org/officeDocument/2006/relationships/hyperlink" Target="https://www.mouser.de/ProductDetail/onsemi-Fairchild/BSS138?qs=HK%252BeIG1iaahCeqBvjB4arg%3D%3D" TargetMode="External"/><Relationship Id="rId39" Type="http://schemas.openxmlformats.org/officeDocument/2006/relationships/hyperlink" Target="https://www.mouser.de/ProductDetail/Vishay/CRCW08050000Z0EBC?qs=wd5RIQLrsJiz%2F0MqTjzsKw%3D%3D" TargetMode="External"/><Relationship Id="rId40" Type="http://schemas.openxmlformats.org/officeDocument/2006/relationships/hyperlink" Target="https://www.mouser.de/ProductDetail/Bourns/CR0402-JW-221GLF?qs=K5ddiUFZPT76N0%252BwSTMuPg%3D%3D" TargetMode="External"/><Relationship Id="rId41" Type="http://schemas.openxmlformats.org/officeDocument/2006/relationships/hyperlink" Target="https://www.mouser.de/ProductDetail/YAGEO/RC0402FR-7D4K7L?qs=F5EMLAvA7ID7%2FFIVczkChg%3D%3D" TargetMode="External"/><Relationship Id="rId42" Type="http://schemas.openxmlformats.org/officeDocument/2006/relationships/hyperlink" Target="https://www.mouser.de/ProductDetail/Bourns/CR0402-FX-5101GLF?qs=ePR1ZvdkOKImkuXR%2F%2FtvtA%3D%3D" TargetMode="External"/><Relationship Id="rId43" Type="http://schemas.openxmlformats.org/officeDocument/2006/relationships/hyperlink" Target="https://www.mouser.de/ProductDetail/Bourns/CR0402-JW-103GLF?qs=%2F8Tj2%2FBce9bNso9XMxOn0g%3D%3D" TargetMode="External"/><Relationship Id="rId44" Type="http://schemas.openxmlformats.org/officeDocument/2006/relationships/hyperlink" Target="https://www.we-online.com/components/products/datasheet/430182095816.pdf" TargetMode="External"/><Relationship Id="rId45" Type="http://schemas.openxmlformats.org/officeDocument/2006/relationships/hyperlink" Target="https://www.mouser.de/ProductDetail/Wurth-Elektronik/430182095816?qs=wr8lucFkNMWrtZMOW7K%252BAg%3D%3D" TargetMode="External"/><Relationship Id="rId46" Type="http://schemas.openxmlformats.org/officeDocument/2006/relationships/hyperlink" Target="https://www.we-online.com/components/products/datasheet/430182095816.pdf" TargetMode="External"/><Relationship Id="rId47" Type="http://schemas.openxmlformats.org/officeDocument/2006/relationships/hyperlink" Target="https://www.mouser.de/ProductDetail/Wurth-Elektronik/430182095816?qs=wr8lucFkNMWrtZMOW7K%252BAg%3D%3D" TargetMode="External"/><Relationship Id="rId48" Type="http://schemas.openxmlformats.org/officeDocument/2006/relationships/hyperlink" Target="https://www.molex.com/en-us/products/part-detail-pdf/781710002?display=pdf" TargetMode="External"/><Relationship Id="rId49" Type="http://schemas.openxmlformats.org/officeDocument/2006/relationships/hyperlink" Target="https://www.mouser.de/ProductDetail/Molex/78171-0002?qs=Gs2o0dzr3RhBbmnwhRVwhg%3D%3D" TargetMode="External"/><Relationship Id="rId50" Type="http://schemas.openxmlformats.org/officeDocument/2006/relationships/hyperlink" Target="https://www.usb.org/sites/default/files/documents/usb_type-c.zip" TargetMode="External"/><Relationship Id="rId51" Type="http://schemas.openxmlformats.org/officeDocument/2006/relationships/hyperlink" Target="https://www.mouser.de/ProductDetail/GCT/USB4105-GF-A-120?qs=QNEnbhJQKva%252Bjxw%2FpEjDhQ%3D%3D" TargetMode="External"/><Relationship Id="rId52" Type="http://schemas.openxmlformats.org/officeDocument/2006/relationships/hyperlink" Target="http://infocenter.arm.com/help/topic/com.arm.doc.ddi0314h/DDI0314H_coresight_components_trm.pdf" TargetMode="External"/><Relationship Id="rId53" Type="http://schemas.openxmlformats.org/officeDocument/2006/relationships/hyperlink" Target="https://www.mouser.de/ProductDetail/Wurth-Elektronik/623310235521?qs=7D1LtPJG0i1zDmahu1AyYA%3D%3D" TargetMode="External"/><Relationship Id="rId54" Type="http://schemas.openxmlformats.org/officeDocument/2006/relationships/hyperlink" Target="https://www.mouser.de/datasheet/2/122/ECX_1210-2400578.pdf" TargetMode="External"/><Relationship Id="rId55" Type="http://schemas.openxmlformats.org/officeDocument/2006/relationships/hyperlink" Target="https://www.mouser.de/ProductDetail/ECS/ECS-.327-6-1210-TR?qs=QNEnbhJQKvY40vrqytaXdA%3D%3D" TargetMode="External"/><Relationship Id="rId56" Type="http://schemas.openxmlformats.org/officeDocument/2006/relationships/hyperlink" Target="https://mouser.com/bom/" TargetMode="External"/><Relationship Id="rId57" Type="http://schemas.openxmlformats.org/officeDocument/2006/relationships/vmlDrawing" Target="../drawings/vmlDrawing1.vml"/><Relationship Id="rId5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mouser.com/bom/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4.7109375" customWidth="1"/>
    <col min="4" max="4" width="18.7109375" customWidth="1"/>
    <col min="5" max="5" width="60.7109375" customWidth="1"/>
    <col min="6" max="6" width="60.7109375" customWidth="1"/>
    <col min="7" max="7" width="60.7109375" customWidth="1"/>
    <col min="8" max="8" width="38.7109375" customWidth="1"/>
    <col min="9" max="9" width="2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18</v>
      </c>
      <c r="C10" s="9" t="s">
        <v>19</v>
      </c>
      <c r="D10" s="9" t="s">
        <v>20</v>
      </c>
      <c r="E10" s="9" t="s">
        <v>21</v>
      </c>
      <c r="F10" s="9" t="s">
        <v>22</v>
      </c>
      <c r="G10" s="10" t="s">
        <v>15</v>
      </c>
      <c r="H10" s="10" t="s">
        <v>23</v>
      </c>
      <c r="I10" s="10" t="s">
        <v>24</v>
      </c>
    </row>
    <row r="11" spans="1:9">
      <c r="A11" s="5" t="s">
        <v>25</v>
      </c>
      <c r="B11" s="5" t="s">
        <v>10</v>
      </c>
      <c r="C11" s="6" t="s">
        <v>26</v>
      </c>
      <c r="D11" s="6" t="s">
        <v>20</v>
      </c>
      <c r="E11" s="6" t="s">
        <v>21</v>
      </c>
      <c r="F11" s="6" t="s">
        <v>14</v>
      </c>
      <c r="G11" s="7" t="s">
        <v>15</v>
      </c>
      <c r="H11" s="7" t="s">
        <v>23</v>
      </c>
      <c r="I11" s="7" t="s">
        <v>27</v>
      </c>
    </row>
    <row r="12" spans="1:9">
      <c r="A12" s="8" t="s">
        <v>10</v>
      </c>
      <c r="B12" s="8" t="s">
        <v>9</v>
      </c>
      <c r="C12" s="9" t="s">
        <v>28</v>
      </c>
      <c r="D12" s="9" t="s">
        <v>29</v>
      </c>
      <c r="E12" s="9" t="s">
        <v>21</v>
      </c>
      <c r="F12" s="9" t="s">
        <v>22</v>
      </c>
      <c r="G12" s="10" t="s">
        <v>15</v>
      </c>
      <c r="H12" s="10" t="s">
        <v>23</v>
      </c>
      <c r="I12" s="10" t="s">
        <v>30</v>
      </c>
    </row>
    <row r="13" spans="1:9">
      <c r="A13" s="5" t="s">
        <v>31</v>
      </c>
      <c r="B13" s="5" t="s">
        <v>25</v>
      </c>
      <c r="C13" s="6" t="s">
        <v>32</v>
      </c>
      <c r="D13" s="6" t="s">
        <v>33</v>
      </c>
      <c r="E13" s="6" t="s">
        <v>34</v>
      </c>
      <c r="F13" s="6" t="s">
        <v>22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18</v>
      </c>
      <c r="C14" s="9" t="s">
        <v>38</v>
      </c>
      <c r="D14" s="9" t="s">
        <v>39</v>
      </c>
      <c r="E14" s="9" t="s">
        <v>34</v>
      </c>
      <c r="F14" s="9" t="s">
        <v>14</v>
      </c>
      <c r="G14" s="10" t="s">
        <v>15</v>
      </c>
      <c r="H14" s="10" t="s">
        <v>35</v>
      </c>
      <c r="I14" s="10" t="s">
        <v>40</v>
      </c>
    </row>
    <row r="15" spans="1:9" ht="30" customHeight="1">
      <c r="A15" s="5" t="s">
        <v>41</v>
      </c>
      <c r="B15" s="5" t="s">
        <v>9</v>
      </c>
      <c r="C15" s="6" t="s">
        <v>42</v>
      </c>
      <c r="D15" s="6" t="s">
        <v>43</v>
      </c>
      <c r="E15" s="6" t="s">
        <v>44</v>
      </c>
      <c r="F15" s="6" t="s">
        <v>14</v>
      </c>
      <c r="G15" s="7" t="s">
        <v>15</v>
      </c>
      <c r="H15" s="7" t="s">
        <v>35</v>
      </c>
      <c r="I15" s="7" t="s">
        <v>45</v>
      </c>
    </row>
    <row r="16" spans="1:9" ht="30" customHeight="1">
      <c r="A16" s="8" t="s">
        <v>46</v>
      </c>
      <c r="B16" s="8" t="s">
        <v>9</v>
      </c>
      <c r="C16" s="9" t="s">
        <v>47</v>
      </c>
      <c r="D16" s="9" t="s">
        <v>48</v>
      </c>
      <c r="E16" s="9" t="s">
        <v>49</v>
      </c>
      <c r="F16" s="9" t="s">
        <v>50</v>
      </c>
      <c r="G16" s="10" t="s">
        <v>51</v>
      </c>
      <c r="H16" s="10" t="s">
        <v>52</v>
      </c>
      <c r="I16" s="10" t="s">
        <v>53</v>
      </c>
    </row>
    <row r="17" spans="1:9">
      <c r="A17" s="5" t="s">
        <v>54</v>
      </c>
      <c r="B17" s="5" t="s">
        <v>18</v>
      </c>
      <c r="C17" s="6" t="s">
        <v>55</v>
      </c>
      <c r="D17" s="6" t="s">
        <v>56</v>
      </c>
      <c r="E17" s="6" t="s">
        <v>57</v>
      </c>
      <c r="F17" s="6" t="s">
        <v>58</v>
      </c>
      <c r="G17" s="7" t="s">
        <v>59</v>
      </c>
      <c r="H17" s="7" t="s">
        <v>60</v>
      </c>
      <c r="I17" s="7" t="s">
        <v>56</v>
      </c>
    </row>
    <row r="18" spans="1:9">
      <c r="A18" s="8" t="s">
        <v>61</v>
      </c>
      <c r="B18" s="8" t="s">
        <v>9</v>
      </c>
      <c r="C18" s="9" t="s">
        <v>62</v>
      </c>
      <c r="D18" s="9" t="s">
        <v>63</v>
      </c>
      <c r="E18" s="9" t="s">
        <v>64</v>
      </c>
      <c r="F18" s="9" t="s">
        <v>65</v>
      </c>
      <c r="G18" s="11" t="s">
        <v>66</v>
      </c>
      <c r="H18" s="10" t="s">
        <v>67</v>
      </c>
      <c r="I18" s="10" t="s">
        <v>63</v>
      </c>
    </row>
    <row r="19" spans="1:9" ht="30" customHeight="1">
      <c r="A19" s="5" t="s">
        <v>68</v>
      </c>
      <c r="B19" s="5" t="s">
        <v>9</v>
      </c>
      <c r="C19" s="6" t="s">
        <v>69</v>
      </c>
      <c r="D19" s="6" t="s">
        <v>70</v>
      </c>
      <c r="E19" s="6" t="s">
        <v>71</v>
      </c>
      <c r="F19" s="6" t="s">
        <v>72</v>
      </c>
      <c r="G19" s="12" t="s">
        <v>66</v>
      </c>
      <c r="H19" s="7" t="s">
        <v>73</v>
      </c>
      <c r="I19" s="7" t="s">
        <v>74</v>
      </c>
    </row>
    <row r="20" spans="1:9" ht="30" customHeight="1">
      <c r="A20" s="8" t="s">
        <v>75</v>
      </c>
      <c r="B20" s="8" t="s">
        <v>9</v>
      </c>
      <c r="C20" s="9" t="s">
        <v>76</v>
      </c>
      <c r="D20" s="9" t="s">
        <v>77</v>
      </c>
      <c r="E20" s="9" t="s">
        <v>78</v>
      </c>
      <c r="F20" s="9" t="s">
        <v>79</v>
      </c>
      <c r="G20" s="11" t="s">
        <v>66</v>
      </c>
      <c r="H20" s="10" t="s">
        <v>73</v>
      </c>
      <c r="I20" s="10" t="s">
        <v>80</v>
      </c>
    </row>
    <row r="21" spans="1:9" ht="30" customHeight="1">
      <c r="A21" s="5" t="s">
        <v>81</v>
      </c>
      <c r="B21" s="5" t="s">
        <v>9</v>
      </c>
      <c r="C21" s="6" t="s">
        <v>82</v>
      </c>
      <c r="D21" s="6" t="s">
        <v>83</v>
      </c>
      <c r="E21" s="6" t="s">
        <v>84</v>
      </c>
      <c r="F21" s="6" t="s">
        <v>85</v>
      </c>
      <c r="G21" s="7" t="s">
        <v>86</v>
      </c>
      <c r="H21" s="7" t="s">
        <v>87</v>
      </c>
      <c r="I21" s="7" t="s">
        <v>88</v>
      </c>
    </row>
    <row r="22" spans="1:9">
      <c r="A22" s="8" t="s">
        <v>89</v>
      </c>
      <c r="B22" s="8" t="s">
        <v>9</v>
      </c>
      <c r="C22" s="9" t="s">
        <v>90</v>
      </c>
      <c r="D22" s="9" t="s">
        <v>91</v>
      </c>
      <c r="E22" s="9" t="s">
        <v>92</v>
      </c>
      <c r="F22" s="9" t="s">
        <v>85</v>
      </c>
      <c r="G22" s="11" t="s">
        <v>66</v>
      </c>
      <c r="H22" s="10" t="s">
        <v>93</v>
      </c>
      <c r="I22" s="10" t="s">
        <v>94</v>
      </c>
    </row>
    <row r="23" spans="1:9" ht="30" customHeight="1">
      <c r="A23" s="5" t="s">
        <v>95</v>
      </c>
      <c r="B23" s="5" t="s">
        <v>9</v>
      </c>
      <c r="C23" s="6" t="s">
        <v>96</v>
      </c>
      <c r="D23" s="6" t="s">
        <v>97</v>
      </c>
      <c r="E23" s="6" t="s">
        <v>98</v>
      </c>
      <c r="F23" s="6" t="s">
        <v>99</v>
      </c>
      <c r="G23" s="12" t="s">
        <v>66</v>
      </c>
      <c r="H23" s="7" t="s">
        <v>100</v>
      </c>
      <c r="I23" s="7" t="s">
        <v>101</v>
      </c>
    </row>
    <row r="24" spans="1:9">
      <c r="A24" s="8" t="s">
        <v>102</v>
      </c>
      <c r="B24" s="8" t="s">
        <v>9</v>
      </c>
      <c r="C24" s="9" t="s">
        <v>103</v>
      </c>
      <c r="D24" s="9" t="s">
        <v>20</v>
      </c>
      <c r="E24" s="9" t="s">
        <v>104</v>
      </c>
      <c r="F24" s="9" t="s">
        <v>105</v>
      </c>
      <c r="G24" s="10" t="s">
        <v>106</v>
      </c>
      <c r="H24" s="10" t="s">
        <v>107</v>
      </c>
      <c r="I24" s="10" t="s">
        <v>108</v>
      </c>
    </row>
    <row r="25" spans="1:9" ht="30" customHeight="1">
      <c r="A25" s="5" t="s">
        <v>109</v>
      </c>
      <c r="B25" s="5" t="s">
        <v>9</v>
      </c>
      <c r="C25" s="6" t="s">
        <v>110</v>
      </c>
      <c r="D25" s="6" t="s">
        <v>111</v>
      </c>
      <c r="E25" s="6" t="s">
        <v>112</v>
      </c>
      <c r="F25" s="6" t="s">
        <v>111</v>
      </c>
      <c r="G25" s="12" t="s">
        <v>66</v>
      </c>
      <c r="H25" s="7" t="s">
        <v>113</v>
      </c>
      <c r="I25" s="7" t="s">
        <v>114</v>
      </c>
    </row>
    <row r="26" spans="1:9" ht="30" customHeight="1">
      <c r="A26" s="8" t="s">
        <v>115</v>
      </c>
      <c r="B26" s="8" t="s">
        <v>9</v>
      </c>
      <c r="C26" s="9" t="s">
        <v>116</v>
      </c>
      <c r="D26" s="9" t="s">
        <v>117</v>
      </c>
      <c r="E26" s="9" t="s">
        <v>118</v>
      </c>
      <c r="F26" s="9" t="s">
        <v>117</v>
      </c>
      <c r="G26" s="10" t="s">
        <v>119</v>
      </c>
      <c r="H26" s="10" t="s">
        <v>120</v>
      </c>
      <c r="I26" s="10" t="s">
        <v>117</v>
      </c>
    </row>
    <row r="27" spans="1:9">
      <c r="A27" s="5" t="s">
        <v>121</v>
      </c>
      <c r="B27" s="5" t="s">
        <v>9</v>
      </c>
      <c r="C27" s="6" t="s">
        <v>122</v>
      </c>
      <c r="D27" s="6" t="s">
        <v>123</v>
      </c>
      <c r="E27" s="6" t="s">
        <v>124</v>
      </c>
      <c r="F27" s="6" t="s">
        <v>125</v>
      </c>
      <c r="G27" s="7" t="s">
        <v>126</v>
      </c>
      <c r="H27" s="7" t="s">
        <v>127</v>
      </c>
      <c r="I27" s="7" t="s">
        <v>123</v>
      </c>
    </row>
    <row r="28" spans="1:9">
      <c r="A28" s="8" t="s">
        <v>128</v>
      </c>
      <c r="B28" s="8" t="s">
        <v>9</v>
      </c>
      <c r="C28" s="9" t="s">
        <v>129</v>
      </c>
      <c r="D28" s="9" t="s">
        <v>130</v>
      </c>
      <c r="E28" s="11" t="s">
        <v>131</v>
      </c>
      <c r="F28" s="9" t="s">
        <v>132</v>
      </c>
      <c r="G28" s="10" t="s">
        <v>133</v>
      </c>
      <c r="H28" s="10" t="s">
        <v>134</v>
      </c>
      <c r="I28" s="10" t="s">
        <v>135</v>
      </c>
    </row>
    <row r="29" spans="1:9">
      <c r="A29" s="5" t="s">
        <v>136</v>
      </c>
      <c r="B29" s="5" t="s">
        <v>9</v>
      </c>
      <c r="C29" s="6" t="s">
        <v>137</v>
      </c>
      <c r="D29" s="6" t="s">
        <v>138</v>
      </c>
      <c r="E29" s="12" t="s">
        <v>131</v>
      </c>
      <c r="F29" s="6" t="s">
        <v>139</v>
      </c>
      <c r="G29" s="7" t="s">
        <v>133</v>
      </c>
      <c r="H29" s="7" t="s">
        <v>140</v>
      </c>
      <c r="I29" s="7" t="s">
        <v>141</v>
      </c>
    </row>
    <row r="30" spans="1:9">
      <c r="A30" s="8" t="s">
        <v>142</v>
      </c>
      <c r="B30" s="8" t="s">
        <v>9</v>
      </c>
      <c r="C30" s="9" t="s">
        <v>143</v>
      </c>
      <c r="D30" s="9" t="s">
        <v>144</v>
      </c>
      <c r="E30" s="11" t="s">
        <v>131</v>
      </c>
      <c r="F30" s="9" t="s">
        <v>139</v>
      </c>
      <c r="G30" s="10" t="s">
        <v>133</v>
      </c>
      <c r="H30" s="10" t="s">
        <v>145</v>
      </c>
      <c r="I30" s="10" t="s">
        <v>146</v>
      </c>
    </row>
    <row r="31" spans="1:9">
      <c r="A31" s="5" t="s">
        <v>147</v>
      </c>
      <c r="B31" s="5" t="s">
        <v>18</v>
      </c>
      <c r="C31" s="6" t="s">
        <v>148</v>
      </c>
      <c r="D31" s="6" t="s">
        <v>149</v>
      </c>
      <c r="E31" s="12" t="s">
        <v>131</v>
      </c>
      <c r="F31" s="6" t="s">
        <v>139</v>
      </c>
      <c r="G31" s="7" t="s">
        <v>133</v>
      </c>
      <c r="H31" s="7" t="s">
        <v>140</v>
      </c>
      <c r="I31" s="7" t="s">
        <v>150</v>
      </c>
    </row>
    <row r="32" spans="1:9">
      <c r="A32" s="8" t="s">
        <v>151</v>
      </c>
      <c r="B32" s="8" t="s">
        <v>10</v>
      </c>
      <c r="C32" s="9" t="s">
        <v>152</v>
      </c>
      <c r="D32" s="9" t="s">
        <v>153</v>
      </c>
      <c r="E32" s="11" t="s">
        <v>131</v>
      </c>
      <c r="F32" s="9" t="s">
        <v>139</v>
      </c>
      <c r="G32" s="10" t="s">
        <v>133</v>
      </c>
      <c r="H32" s="10" t="s">
        <v>140</v>
      </c>
      <c r="I32" s="10" t="s">
        <v>154</v>
      </c>
    </row>
    <row r="33" spans="1:9" ht="30" customHeight="1">
      <c r="A33" s="5" t="s">
        <v>155</v>
      </c>
      <c r="B33" s="5" t="s">
        <v>9</v>
      </c>
      <c r="C33" s="6" t="s">
        <v>156</v>
      </c>
      <c r="D33" s="6" t="s">
        <v>157</v>
      </c>
      <c r="E33" s="6" t="s">
        <v>158</v>
      </c>
      <c r="F33" s="6" t="s">
        <v>159</v>
      </c>
      <c r="G33" s="7" t="s">
        <v>160</v>
      </c>
      <c r="H33" s="7" t="s">
        <v>161</v>
      </c>
      <c r="I33" s="7" t="s">
        <v>162</v>
      </c>
    </row>
    <row r="34" spans="1:9" ht="30" customHeight="1">
      <c r="A34" s="8" t="s">
        <v>163</v>
      </c>
      <c r="B34" s="8" t="s">
        <v>9</v>
      </c>
      <c r="C34" s="9" t="s">
        <v>164</v>
      </c>
      <c r="D34" s="9" t="s">
        <v>165</v>
      </c>
      <c r="E34" s="9" t="s">
        <v>158</v>
      </c>
      <c r="F34" s="9" t="s">
        <v>159</v>
      </c>
      <c r="G34" s="10" t="s">
        <v>160</v>
      </c>
      <c r="H34" s="10" t="s">
        <v>161</v>
      </c>
      <c r="I34" s="10" t="s">
        <v>162</v>
      </c>
    </row>
    <row r="35" spans="1:9" ht="30" customHeight="1">
      <c r="A35" s="5" t="s">
        <v>166</v>
      </c>
      <c r="B35" s="5" t="s">
        <v>9</v>
      </c>
      <c r="C35" s="6" t="s">
        <v>167</v>
      </c>
      <c r="D35" s="6" t="s">
        <v>168</v>
      </c>
      <c r="E35" s="6" t="s">
        <v>169</v>
      </c>
      <c r="F35" s="6" t="s">
        <v>170</v>
      </c>
      <c r="G35" s="7" t="s">
        <v>171</v>
      </c>
      <c r="H35" s="7" t="s">
        <v>172</v>
      </c>
      <c r="I35" s="7" t="s">
        <v>170</v>
      </c>
    </row>
    <row r="36" spans="1:9" ht="30" customHeight="1">
      <c r="A36" s="8" t="s">
        <v>173</v>
      </c>
      <c r="B36" s="8" t="s">
        <v>9</v>
      </c>
      <c r="C36" s="9" t="s">
        <v>174</v>
      </c>
      <c r="D36" s="9" t="s">
        <v>175</v>
      </c>
      <c r="E36" s="9" t="s">
        <v>176</v>
      </c>
      <c r="F36" s="9" t="s">
        <v>177</v>
      </c>
      <c r="G36" s="10" t="s">
        <v>178</v>
      </c>
      <c r="H36" s="10" t="s">
        <v>179</v>
      </c>
      <c r="I36" s="10" t="s">
        <v>180</v>
      </c>
    </row>
    <row r="37" spans="1:9" ht="30" customHeight="1">
      <c r="A37" s="5" t="s">
        <v>181</v>
      </c>
      <c r="B37" s="5" t="s">
        <v>9</v>
      </c>
      <c r="C37" s="6" t="s">
        <v>182</v>
      </c>
      <c r="D37" s="6" t="s">
        <v>183</v>
      </c>
      <c r="E37" s="6" t="s">
        <v>184</v>
      </c>
      <c r="F37" s="6" t="s">
        <v>185</v>
      </c>
      <c r="G37" s="7" t="s">
        <v>186</v>
      </c>
      <c r="H37" s="7" t="s">
        <v>161</v>
      </c>
      <c r="I37" s="7" t="s">
        <v>187</v>
      </c>
    </row>
    <row r="38" spans="1:9">
      <c r="A38" s="8" t="s">
        <v>188</v>
      </c>
      <c r="B38" s="8" t="s">
        <v>9</v>
      </c>
      <c r="C38" s="9" t="s">
        <v>189</v>
      </c>
      <c r="D38" s="9" t="s">
        <v>190</v>
      </c>
      <c r="E38" s="9" t="s">
        <v>191</v>
      </c>
      <c r="F38" s="9" t="s">
        <v>192</v>
      </c>
      <c r="G38" s="10" t="s">
        <v>193</v>
      </c>
      <c r="H38" s="10" t="s">
        <v>194</v>
      </c>
      <c r="I38" s="10" t="s">
        <v>195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33" r:id="rId20"/>
    <hyperlink ref="E34" r:id="rId21"/>
    <hyperlink ref="E35" r:id="rId22"/>
    <hyperlink ref="E36" r:id="rId23"/>
    <hyperlink ref="E37" r:id="rId24"/>
    <hyperlink ref="E38" r:id="rId2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0.7109375" customWidth="1"/>
    <col min="4" max="4" width="18.7109375" customWidth="1"/>
    <col min="5" max="5" width="19.7109375" customWidth="1"/>
    <col min="6" max="6" width="36.7109375" customWidth="1"/>
    <col min="7" max="7" width="60.7109375" customWidth="1"/>
    <col min="8" max="8" width="14.7109375" customWidth="1"/>
    <col min="9" max="9" width="1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9</v>
      </c>
      <c r="C9" s="6" t="s">
        <v>213</v>
      </c>
      <c r="D9" s="6" t="s">
        <v>214</v>
      </c>
      <c r="E9" s="12" t="s">
        <v>131</v>
      </c>
      <c r="F9" s="6" t="s">
        <v>215</v>
      </c>
      <c r="G9" s="7" t="s">
        <v>216</v>
      </c>
      <c r="H9" s="12" t="s">
        <v>66</v>
      </c>
      <c r="I9" s="12" t="s">
        <v>66</v>
      </c>
    </row>
    <row r="10" spans="1:9" ht="30" customHeight="1">
      <c r="A10" s="8" t="s">
        <v>18</v>
      </c>
      <c r="B10" s="8" t="s">
        <v>9</v>
      </c>
      <c r="C10" s="9" t="s">
        <v>217</v>
      </c>
      <c r="D10" s="9" t="s">
        <v>218</v>
      </c>
      <c r="E10" s="11" t="s">
        <v>131</v>
      </c>
      <c r="F10" s="9" t="s">
        <v>219</v>
      </c>
      <c r="G10" s="10" t="s">
        <v>220</v>
      </c>
      <c r="H10" s="11" t="s">
        <v>66</v>
      </c>
      <c r="I10" s="11" t="s">
        <v>66</v>
      </c>
    </row>
    <row r="11" spans="1:9">
      <c r="A11" s="5" t="s">
        <v>25</v>
      </c>
      <c r="B11" s="5" t="s">
        <v>9</v>
      </c>
      <c r="C11" s="6" t="s">
        <v>221</v>
      </c>
      <c r="D11" s="12" t="s">
        <v>131</v>
      </c>
      <c r="E11" s="12" t="s">
        <v>131</v>
      </c>
      <c r="F11" s="6" t="s">
        <v>139</v>
      </c>
      <c r="G11" s="7" t="s">
        <v>133</v>
      </c>
      <c r="H11" s="12" t="s">
        <v>66</v>
      </c>
      <c r="I11" s="12" t="s">
        <v>66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20.7109375" customWidth="1"/>
    <col min="2" max="2" width="25.7109375" customWidth="1"/>
    <col min="3" max="3" width="56.7109375" customWidth="1" outlineLevel="2"/>
    <col min="4" max="4" width="34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1.7109375" customWidth="1" outlineLevel="2"/>
  </cols>
  <sheetData>
    <row r="1" spans="1:14" ht="32" customHeight="1">
      <c r="A1" s="1" t="s">
        <v>196</v>
      </c>
      <c r="B1" s="1"/>
      <c r="C1" s="1"/>
      <c r="D1" s="1"/>
      <c r="E1" s="1"/>
      <c r="F1" s="1"/>
      <c r="G1" s="1"/>
      <c r="H1" s="1"/>
    </row>
    <row r="2" spans="1:14">
      <c r="A2" s="2" t="s">
        <v>197</v>
      </c>
      <c r="B2" s="3" t="s">
        <v>198</v>
      </c>
      <c r="G2" s="13" t="s">
        <v>267</v>
      </c>
      <c r="H2" s="13">
        <v>1</v>
      </c>
    </row>
    <row r="3" spans="1:14">
      <c r="A3" s="2" t="s">
        <v>199</v>
      </c>
      <c r="B3" s="3" t="s">
        <v>200</v>
      </c>
      <c r="G3" s="14" t="s">
        <v>269</v>
      </c>
      <c r="H3" s="15">
        <f>TotalCost/BoardQty</f>
        <v>50.524</v>
      </c>
    </row>
    <row r="4" spans="1:14">
      <c r="A4" s="2" t="s">
        <v>201</v>
      </c>
      <c r="B4" s="3" t="s">
        <v>66</v>
      </c>
      <c r="G4" s="14" t="s">
        <v>268</v>
      </c>
      <c r="H4" s="16">
        <f>SUM(H10:H39)</f>
        <v>50.524</v>
      </c>
      <c r="M4" s="16">
        <f>SUM(M10:M39)</f>
        <v>50.524</v>
      </c>
      <c r="N4" s="17" t="str">
        <f>(COUNTA(M10:M39)&amp;" of "&amp;ROWS(M10:M39)&amp;" parts found")</f>
        <v>30 of 30 parts found</v>
      </c>
    </row>
    <row r="5" spans="1:14">
      <c r="A5" s="2" t="s">
        <v>202</v>
      </c>
      <c r="B5" s="3" t="s">
        <v>203</v>
      </c>
    </row>
    <row r="6" spans="1:14">
      <c r="A6" s="2" t="s">
        <v>204</v>
      </c>
      <c r="B6" s="3" t="s">
        <v>205</v>
      </c>
    </row>
    <row r="8" spans="1:14">
      <c r="A8" s="18" t="s">
        <v>222</v>
      </c>
      <c r="B8" s="18"/>
      <c r="C8" s="18"/>
      <c r="D8" s="18"/>
      <c r="E8" s="18"/>
      <c r="F8" s="18"/>
      <c r="G8" s="18"/>
      <c r="H8" s="18"/>
      <c r="I8" s="19" t="s">
        <v>228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223</v>
      </c>
      <c r="E9" s="20" t="s">
        <v>224</v>
      </c>
      <c r="F9" s="20" t="s">
        <v>225</v>
      </c>
      <c r="G9" s="20" t="s">
        <v>226</v>
      </c>
      <c r="H9" s="20" t="s">
        <v>227</v>
      </c>
      <c r="I9" s="20" t="s">
        <v>229</v>
      </c>
      <c r="J9" s="20" t="s">
        <v>230</v>
      </c>
      <c r="K9" s="20" t="s">
        <v>226</v>
      </c>
      <c r="L9" s="20" t="s">
        <v>231</v>
      </c>
      <c r="M9" s="20" t="s">
        <v>227</v>
      </c>
      <c r="N9" s="20" t="s">
        <v>232</v>
      </c>
    </row>
    <row r="10" spans="1:14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CEILING(BoardQty*4,1)</f>
        <v>4</v>
      </c>
      <c r="G10" s="22">
        <f>IF(MIN(K10)&lt;&gt;0,MIN(K10),"")</f>
        <v>0.1005942</v>
      </c>
      <c r="H10" s="23">
        <f>IF(AND(ISNUMBER(F10),ISNUMBER(G10)),F10*G10,"")</f>
        <v>0.4024</v>
      </c>
      <c r="I10" s="21">
        <v>1105688</v>
      </c>
      <c r="J10" s="21"/>
      <c r="K10" s="22">
        <f>IFERROR(IF(OR(J10&gt;=L10,F10&gt;=L10),USD_EUR*LOOKUP(IF(J10="",F10,J10),{0,1,10,100,500,2500,5000,10000,50000},{0.0,0.086,0.016,0.012,0.009,0.008,0.007,0.006,0.006}),"MOQ="&amp;L10),"")</f>
        <v>0.1005942</v>
      </c>
      <c r="L10" s="21">
        <v>1</v>
      </c>
      <c r="M10" s="23">
        <f>IFERROR(IF(J10="",F10,J10)*K10,"")</f>
        <v>0.4024</v>
      </c>
      <c r="N10" s="21" t="s">
        <v>233</v>
      </c>
    </row>
    <row r="11" spans="1:14">
      <c r="A11" s="21" t="s">
        <v>19</v>
      </c>
      <c r="B11" s="21" t="s">
        <v>20</v>
      </c>
      <c r="C11" s="21" t="s">
        <v>22</v>
      </c>
      <c r="D11" s="21" t="s">
        <v>23</v>
      </c>
      <c r="E11" s="21" t="s">
        <v>24</v>
      </c>
      <c r="F11" s="21">
        <f>CEILING(BoardQty*2,1)</f>
        <v>2</v>
      </c>
      <c r="G11" s="22">
        <f>IF(MIN(K11)&lt;&gt;0,MIN(K11),"")</f>
        <v>0.5836802999999999</v>
      </c>
      <c r="H11" s="23">
        <f>IF(AND(ISNUMBER(F11),ISNUMBER(G11)),F11*G11,"")</f>
        <v>1.1674</v>
      </c>
      <c r="I11" s="21">
        <v>11159</v>
      </c>
      <c r="J11" s="21"/>
      <c r="K11" s="22">
        <f>IFERROR(IF(OR(J11&gt;=L11,F11&gt;=L11),USD_EUR*LOOKUP(IF(J11="",F11,J11),{0,1,10,100,500,1000,2000,4000,8000,24000},{0.0,0.499,0.33,0.226,0.185,0.17,0.158,0.132,0.129,0.123}),"MOQ="&amp;L11),"")</f>
        <v>0.5836802999999999</v>
      </c>
      <c r="L11" s="21">
        <v>1</v>
      </c>
      <c r="M11" s="23">
        <f>IFERROR(IF(J11="",F11,J11)*K11,"")</f>
        <v>1.1674</v>
      </c>
      <c r="N11" s="21" t="s">
        <v>234</v>
      </c>
    </row>
    <row r="12" spans="1:14">
      <c r="A12" s="21" t="s">
        <v>26</v>
      </c>
      <c r="B12" s="21" t="s">
        <v>20</v>
      </c>
      <c r="C12" s="21" t="s">
        <v>14</v>
      </c>
      <c r="D12" s="21" t="s">
        <v>23</v>
      </c>
      <c r="E12" s="21" t="s">
        <v>27</v>
      </c>
      <c r="F12" s="21">
        <f>CEILING(BoardQty*4,1)</f>
        <v>4</v>
      </c>
      <c r="G12" s="22">
        <f>IF(MIN(K12)&lt;&gt;0,MIN(K12),"")</f>
        <v>0.1111215</v>
      </c>
      <c r="H12" s="23">
        <f>IF(AND(ISNUMBER(F12),ISNUMBER(G12)),F12*G12,"")</f>
        <v>0.4445</v>
      </c>
      <c r="I12" s="21">
        <v>174900</v>
      </c>
      <c r="J12" s="21"/>
      <c r="K12" s="22">
        <f>IFERROR(IF(OR(J12&gt;=L12,F12&gt;=L12),USD_EUR*LOOKUP(IF(J12="",F12,J12),{0,1,10,100,500,1000,2500,5000,10000},{0.0,0.095,0.056,0.034,0.027,0.024,0.022,0.02,0.015}),"MOQ="&amp;L12),"")</f>
        <v>0.1111215</v>
      </c>
      <c r="L12" s="21">
        <v>1</v>
      </c>
      <c r="M12" s="23">
        <f>IFERROR(IF(J12="",F12,J12)*K12,"")</f>
        <v>0.4445</v>
      </c>
      <c r="N12" s="21" t="s">
        <v>235</v>
      </c>
    </row>
    <row r="13" spans="1:14">
      <c r="A13" s="21" t="s">
        <v>28</v>
      </c>
      <c r="B13" s="21" t="s">
        <v>29</v>
      </c>
      <c r="C13" s="21" t="s">
        <v>22</v>
      </c>
      <c r="D13" s="21" t="s">
        <v>23</v>
      </c>
      <c r="E13" s="21" t="s">
        <v>30</v>
      </c>
      <c r="F13" s="21">
        <f>BoardQty*1</f>
        <v>1</v>
      </c>
      <c r="G13" s="22">
        <f>IF(MIN(K13)&lt;&gt;0,MIN(K13),"")</f>
        <v>0.1813035</v>
      </c>
      <c r="H13" s="23">
        <f>IF(AND(ISNUMBER(F13),ISNUMBER(G13)),F13*G13,"")</f>
        <v>0.1813</v>
      </c>
      <c r="I13" s="21">
        <v>5690</v>
      </c>
      <c r="J13" s="21"/>
      <c r="K13" s="22">
        <f>IFERROR(IF(OR(J13&gt;=L13,F13&gt;=L13),USD_EUR*LOOKUP(IF(J13="",F13,J13),{0,1,10,100,500,1000,2000,4000,8000,24000},{0.0,0.155,0.099,0.052,0.041,0.037,0.034,0.028,0.027,0.026}),"MOQ="&amp;L13),"")</f>
        <v>0.1813035</v>
      </c>
      <c r="L13" s="21">
        <v>1</v>
      </c>
      <c r="M13" s="23">
        <f>IFERROR(IF(J13="",F13,J13)*K13,"")</f>
        <v>0.1813</v>
      </c>
      <c r="N13" s="21" t="s">
        <v>236</v>
      </c>
    </row>
    <row r="14" spans="1:14">
      <c r="A14" s="21" t="s">
        <v>32</v>
      </c>
      <c r="B14" s="21" t="s">
        <v>33</v>
      </c>
      <c r="C14" s="21" t="s">
        <v>22</v>
      </c>
      <c r="D14" s="21" t="s">
        <v>35</v>
      </c>
      <c r="E14" s="21" t="s">
        <v>36</v>
      </c>
      <c r="F14" s="21">
        <f>CEILING(BoardQty*3,1)</f>
        <v>3</v>
      </c>
      <c r="G14" s="22">
        <f>IF(MIN(K14)&lt;&gt;0,MIN(K14),"")</f>
        <v>0.1005942</v>
      </c>
      <c r="H14" s="23">
        <f>IF(AND(ISNUMBER(F14),ISNUMBER(G14)),F14*G14,"")</f>
        <v>0.3018</v>
      </c>
      <c r="I14" s="21">
        <v>898386</v>
      </c>
      <c r="J14" s="21"/>
      <c r="K14" s="22">
        <f>IFERROR(IF(OR(J14&gt;=L14,F14&gt;=L14),USD_EUR*LOOKUP(IF(J14="",F14,J14),{0,1,10,4000},{0.0,0.086,0.018,0.016}),"MOQ="&amp;L14),"")</f>
        <v>0.1005942</v>
      </c>
      <c r="L14" s="21">
        <v>1</v>
      </c>
      <c r="M14" s="23">
        <f>IFERROR(IF(J14="",F14,J14)*K14,"")</f>
        <v>0.3018</v>
      </c>
      <c r="N14" s="21" t="s">
        <v>237</v>
      </c>
    </row>
    <row r="15" spans="1:14">
      <c r="A15" s="21" t="s">
        <v>38</v>
      </c>
      <c r="B15" s="21" t="s">
        <v>39</v>
      </c>
      <c r="C15" s="21" t="s">
        <v>14</v>
      </c>
      <c r="D15" s="21" t="s">
        <v>35</v>
      </c>
      <c r="E15" s="21" t="s">
        <v>40</v>
      </c>
      <c r="F15" s="21">
        <f>CEILING(BoardQty*2,1)</f>
        <v>2</v>
      </c>
      <c r="G15" s="22">
        <f>IF(MIN(K15)&lt;&gt;0,MIN(K15),"")</f>
        <v>0.1906611</v>
      </c>
      <c r="H15" s="23">
        <f>IF(AND(ISNUMBER(F15),ISNUMBER(G15)),F15*G15,"")</f>
        <v>0.3813</v>
      </c>
      <c r="I15" s="21">
        <v>148663</v>
      </c>
      <c r="J15" s="21"/>
      <c r="K15" s="22">
        <f>IFERROR(IF(OR(J15&gt;=L15,F15&gt;=L15),USD_EUR*LOOKUP(IF(J15="",F15,J15),{0,1,10,100,500,1000,2500,5000,10000,20000},{0.0,0.163,0.089,0.057,0.05,0.042,0.038,0.034,0.025,0.024}),"MOQ="&amp;L15),"")</f>
        <v>0.1906611</v>
      </c>
      <c r="L15" s="21">
        <v>1</v>
      </c>
      <c r="M15" s="23">
        <f>IFERROR(IF(J15="",F15,J15)*K15,"")</f>
        <v>0.3813</v>
      </c>
      <c r="N15" s="21" t="s">
        <v>238</v>
      </c>
    </row>
    <row r="16" spans="1:14">
      <c r="A16" s="21" t="s">
        <v>42</v>
      </c>
      <c r="B16" s="21" t="s">
        <v>43</v>
      </c>
      <c r="C16" s="21" t="s">
        <v>14</v>
      </c>
      <c r="D16" s="21" t="s">
        <v>35</v>
      </c>
      <c r="E16" s="21" t="s">
        <v>45</v>
      </c>
      <c r="F16" s="21">
        <f>BoardQty*1</f>
        <v>1</v>
      </c>
      <c r="G16" s="22">
        <f>IF(MIN(K16)&lt;&gt;0,MIN(K16),"")</f>
        <v>0.2316006</v>
      </c>
      <c r="H16" s="23">
        <f>IF(AND(ISNUMBER(F16),ISNUMBER(G16)),F16*G16,"")</f>
        <v>0.2316</v>
      </c>
      <c r="I16" s="21">
        <v>7840</v>
      </c>
      <c r="J16" s="21"/>
      <c r="K16" s="22">
        <f>IFERROR(IF(OR(J16&gt;=L16,F16&gt;=L16),USD_EUR*LOOKUP(IF(J16="",F16,J16),{0,1,10,100,500,1000,2500,5000,10000,20000},{0.0,0.198,0.128,0.077,0.06,0.055,0.051,0.045,0.041,0.04}),"MOQ="&amp;L16),"")</f>
        <v>0.2316006</v>
      </c>
      <c r="L16" s="21">
        <v>1</v>
      </c>
      <c r="M16" s="23">
        <f>IFERROR(IF(J16="",F16,J16)*K16,"")</f>
        <v>0.2316</v>
      </c>
      <c r="N16" s="21" t="s">
        <v>239</v>
      </c>
    </row>
    <row r="17" spans="1:14">
      <c r="A17" s="21" t="s">
        <v>47</v>
      </c>
      <c r="B17" s="21" t="s">
        <v>48</v>
      </c>
      <c r="C17" s="21" t="s">
        <v>50</v>
      </c>
      <c r="D17" s="21" t="s">
        <v>52</v>
      </c>
      <c r="E17" s="21" t="s">
        <v>53</v>
      </c>
      <c r="F17" s="21">
        <f>BoardQty*1</f>
        <v>1</v>
      </c>
      <c r="G17" s="22">
        <f>IF(MIN(K17)&lt;&gt;0,MIN(K17),"")</f>
        <v>1.204791</v>
      </c>
      <c r="H17" s="23">
        <f>IF(AND(ISNUMBER(F17),ISNUMBER(G17)),F17*G17,"")</f>
        <v>1.2048</v>
      </c>
      <c r="I17" s="21">
        <v>8389</v>
      </c>
      <c r="J17" s="21"/>
      <c r="K17" s="22">
        <f>IFERROR(IF(OR(J17&gt;=L17,F17&gt;=L17),USD_EUR*LOOKUP(IF(J17="",F17,J17),{0,1,10,100,500,1000,2000,4000,8000,24000},{0.0,1.03,0.728,0.543,0.46,0.433,0.41,0.373,0.355,0.353}),"MOQ="&amp;L17),"")</f>
        <v>1.204791</v>
      </c>
      <c r="L17" s="21">
        <v>1</v>
      </c>
      <c r="M17" s="23">
        <f>IFERROR(IF(J17="",F17,J17)*K17,"")</f>
        <v>1.2048</v>
      </c>
      <c r="N17" s="21" t="s">
        <v>240</v>
      </c>
    </row>
    <row r="18" spans="1:14">
      <c r="A18" s="21" t="s">
        <v>55</v>
      </c>
      <c r="B18" s="21" t="s">
        <v>56</v>
      </c>
      <c r="C18" s="21" t="s">
        <v>58</v>
      </c>
      <c r="D18" s="21" t="s">
        <v>60</v>
      </c>
      <c r="E18" s="21" t="s">
        <v>56</v>
      </c>
      <c r="F18" s="21">
        <f>CEILING(BoardQty*2,1)</f>
        <v>2</v>
      </c>
      <c r="G18" s="22">
        <f>IF(MIN(K18)&lt;&gt;0,MIN(K18),"")</f>
        <v>2.877462</v>
      </c>
      <c r="H18" s="23">
        <f>IF(AND(ISNUMBER(F18),ISNUMBER(G18)),F18*G18,"")</f>
        <v>5.7549</v>
      </c>
      <c r="I18" s="21">
        <v>5306</v>
      </c>
      <c r="J18" s="21"/>
      <c r="K18" s="22">
        <f>IFERROR(IF(OR(J18&gt;=L18,F18&gt;=L18),USD_EUR*LOOKUP(IF(J18="",F18,J18),{0,1,10,100,500,3000},{0.0,2.46,1.71,1.32,1.31,1.11}),"MOQ="&amp;L18),"")</f>
        <v>2.877462</v>
      </c>
      <c r="L18" s="21">
        <v>1</v>
      </c>
      <c r="M18" s="23">
        <f>IFERROR(IF(J18="",F18,J18)*K18,"")</f>
        <v>5.7549</v>
      </c>
      <c r="N18" s="21" t="s">
        <v>241</v>
      </c>
    </row>
    <row r="19" spans="1:14">
      <c r="A19" s="21" t="s">
        <v>62</v>
      </c>
      <c r="B19" s="21" t="s">
        <v>63</v>
      </c>
      <c r="C19" s="21" t="s">
        <v>65</v>
      </c>
      <c r="D19" s="21" t="s">
        <v>67</v>
      </c>
      <c r="E19" s="21" t="s">
        <v>63</v>
      </c>
      <c r="F19" s="21">
        <f>BoardQty*1</f>
        <v>1</v>
      </c>
      <c r="G19" s="22">
        <f>IF(MIN(K19)&lt;&gt;0,MIN(K19),"")</f>
        <v>1.438731</v>
      </c>
      <c r="H19" s="23">
        <f>IF(AND(ISNUMBER(F19),ISNUMBER(G19)),F19*G19,"")</f>
        <v>1.4387</v>
      </c>
      <c r="I19" s="21">
        <v>10868</v>
      </c>
      <c r="J19" s="21"/>
      <c r="K19" s="22">
        <f>IFERROR(IF(OR(J19&gt;=L19,F19&gt;=L19),USD_EUR*LOOKUP(IF(J19="",F19,J19),{0,1,5,10,50,100,500,1000,2000,5000,8000},{0.0,1.23,1.09,0.972,0.929,0.894,0.811,0.779,0.757,0.707,0.707}),"MOQ="&amp;L19),"")</f>
        <v>1.438731</v>
      </c>
      <c r="L19" s="21">
        <v>1</v>
      </c>
      <c r="M19" s="23">
        <f>IFERROR(IF(J19="",F19,J19)*K19,"")</f>
        <v>1.4387</v>
      </c>
      <c r="N19" s="21" t="s">
        <v>242</v>
      </c>
    </row>
    <row r="20" spans="1:14">
      <c r="A20" s="21" t="s">
        <v>69</v>
      </c>
      <c r="B20" s="21" t="s">
        <v>70</v>
      </c>
      <c r="C20" s="21" t="s">
        <v>72</v>
      </c>
      <c r="D20" s="21" t="s">
        <v>73</v>
      </c>
      <c r="E20" s="21" t="s">
        <v>74</v>
      </c>
      <c r="F20" s="21">
        <f>BoardQty*1</f>
        <v>1</v>
      </c>
      <c r="G20" s="22">
        <f>IF(MIN(K20)&lt;&gt;0,MIN(K20),"")</f>
        <v>7.158564</v>
      </c>
      <c r="H20" s="23">
        <f>IF(AND(ISNUMBER(F20),ISNUMBER(G20)),F20*G20,"")</f>
        <v>7.1586</v>
      </c>
      <c r="I20" s="21">
        <v>1231</v>
      </c>
      <c r="J20" s="21"/>
      <c r="K20" s="22">
        <f>IFERROR(IF(OR(J20&gt;=L20,F20&gt;=L20),USD_EUR*LOOKUP(IF(J20="",F20,J20),{0,1,5,10,25,100,500,1000,2496},{0.0,6.12,6.11,4.73,4.38,3.75,3.74,3.69,3.47}),"MOQ="&amp;L20),"")</f>
        <v>7.158564</v>
      </c>
      <c r="L20" s="21">
        <v>1</v>
      </c>
      <c r="M20" s="23">
        <f>IFERROR(IF(J20="",F20,J20)*K20,"")</f>
        <v>7.1586</v>
      </c>
      <c r="N20" s="21" t="s">
        <v>243</v>
      </c>
    </row>
    <row r="21" spans="1:14">
      <c r="A21" s="21" t="s">
        <v>76</v>
      </c>
      <c r="B21" s="21" t="s">
        <v>77</v>
      </c>
      <c r="C21" s="21" t="s">
        <v>79</v>
      </c>
      <c r="D21" s="21" t="s">
        <v>73</v>
      </c>
      <c r="E21" s="21" t="s">
        <v>80</v>
      </c>
      <c r="F21" s="21">
        <f>BoardQty*1</f>
        <v>1</v>
      </c>
      <c r="G21" s="22">
        <f>IF(MIN(K21)&lt;&gt;0,MIN(K21),"")</f>
        <v>11.825667</v>
      </c>
      <c r="H21" s="23">
        <f>IF(AND(ISNUMBER(F21),ISNUMBER(G21)),F21*G21,"")</f>
        <v>11.8257</v>
      </c>
      <c r="I21" s="21">
        <v>8363</v>
      </c>
      <c r="J21" s="21"/>
      <c r="K21" s="22">
        <f>IFERROR(IF(OR(J21&gt;=L21,F21&gt;=L21),USD_EUR*LOOKUP(IF(J21="",F21,J21),{0,1,5,10,25,50,100,500,1000,2500},{0.0,10.11,8.52,7.92,7.19,6.68,6.21,5.5,5.31,5.31}),"MOQ="&amp;L21),"")</f>
        <v>11.825667</v>
      </c>
      <c r="L21" s="21">
        <v>1</v>
      </c>
      <c r="M21" s="23">
        <f>IFERROR(IF(J21="",F21,J21)*K21,"")</f>
        <v>11.8257</v>
      </c>
      <c r="N21" s="21" t="s">
        <v>244</v>
      </c>
    </row>
    <row r="22" spans="1:14">
      <c r="A22" s="21" t="s">
        <v>82</v>
      </c>
      <c r="B22" s="21" t="s">
        <v>83</v>
      </c>
      <c r="C22" s="21" t="s">
        <v>85</v>
      </c>
      <c r="D22" s="21" t="s">
        <v>87</v>
      </c>
      <c r="E22" s="21" t="s">
        <v>88</v>
      </c>
      <c r="F22" s="21">
        <f>BoardQty*1</f>
        <v>1</v>
      </c>
      <c r="G22" s="22">
        <f>IF(MIN(K22)&lt;&gt;0,MIN(K22),"")</f>
        <v>0.7649838</v>
      </c>
      <c r="H22" s="23">
        <f>IF(AND(ISNUMBER(F22),ISNUMBER(G22)),F22*G22,"")</f>
        <v>0.765</v>
      </c>
      <c r="I22" s="21">
        <v>23381</v>
      </c>
      <c r="J22" s="21"/>
      <c r="K22" s="22">
        <f>IFERROR(IF(OR(J22&gt;=L22,F22&gt;=L22),USD_EUR*LOOKUP(IF(J22="",F22,J22),{0,1,25,3000},{0.0,0.654,0.547,0.547}),"MOQ="&amp;L22),"")</f>
        <v>0.7649838</v>
      </c>
      <c r="L22" s="21">
        <v>1</v>
      </c>
      <c r="M22" s="23">
        <f>IFERROR(IF(J22="",F22,J22)*K22,"")</f>
        <v>0.765</v>
      </c>
      <c r="N22" s="21" t="s">
        <v>245</v>
      </c>
    </row>
    <row r="23" spans="1:14">
      <c r="A23" s="21" t="s">
        <v>90</v>
      </c>
      <c r="B23" s="21" t="s">
        <v>91</v>
      </c>
      <c r="C23" s="21" t="s">
        <v>85</v>
      </c>
      <c r="D23" s="21" t="s">
        <v>93</v>
      </c>
      <c r="E23" s="21" t="s">
        <v>94</v>
      </c>
      <c r="F23" s="21">
        <f>BoardQty*1</f>
        <v>1</v>
      </c>
      <c r="G23" s="22">
        <f>IF(MIN(K23)&lt;&gt;0,MIN(K23),"")</f>
        <v>0.1707762</v>
      </c>
      <c r="H23" s="23">
        <f>IF(AND(ISNUMBER(F23),ISNUMBER(G23)),F23*G23,"")</f>
        <v>0.1708</v>
      </c>
      <c r="I23" s="21">
        <v>8589</v>
      </c>
      <c r="J23" s="21"/>
      <c r="K23" s="22">
        <f>IFERROR(IF(OR(J23&gt;=L23,F23&gt;=L23),USD_EUR*LOOKUP(IF(J23="",F23,J23),{0,1,25,100,3000},{0.0,0.146,0.12,0.112,0.112}),"MOQ="&amp;L23),"")</f>
        <v>0.1707762</v>
      </c>
      <c r="L23" s="21">
        <v>1</v>
      </c>
      <c r="M23" s="23">
        <f>IFERROR(IF(J23="",F23,J23)*K23,"")</f>
        <v>0.1708</v>
      </c>
      <c r="N23" s="21" t="s">
        <v>246</v>
      </c>
    </row>
    <row r="24" spans="1:14">
      <c r="A24" s="21" t="s">
        <v>96</v>
      </c>
      <c r="B24" s="21" t="s">
        <v>97</v>
      </c>
      <c r="C24" s="21" t="s">
        <v>99</v>
      </c>
      <c r="D24" s="21" t="s">
        <v>100</v>
      </c>
      <c r="E24" s="21" t="s">
        <v>101</v>
      </c>
      <c r="F24" s="21">
        <f>BoardQty*1</f>
        <v>1</v>
      </c>
      <c r="G24" s="22">
        <f>IF(MIN(K24)&lt;&gt;0,MIN(K24),"")</f>
        <v>1.228185</v>
      </c>
      <c r="H24" s="23">
        <f>IF(AND(ISNUMBER(F24),ISNUMBER(G24)),F24*G24,"")</f>
        <v>1.2282</v>
      </c>
      <c r="I24" s="21">
        <v>5222</v>
      </c>
      <c r="J24" s="21"/>
      <c r="K24" s="22">
        <f>IFERROR(IF(OR(J24&gt;=L24,F24&gt;=L24),USD_EUR*LOOKUP(IF(J24="",F24,J24),{0,1,10,25,100,250,500,1000,3000,6000},{0.0,1.05,0.766,0.694,0.614,0.576,0.553,0.534,0.514,0.489}),"MOQ="&amp;L24),"")</f>
        <v>1.228185</v>
      </c>
      <c r="L24" s="21">
        <v>1</v>
      </c>
      <c r="M24" s="23">
        <f>IFERROR(IF(J24="",F24,J24)*K24,"")</f>
        <v>1.2282</v>
      </c>
      <c r="N24" s="21" t="s">
        <v>247</v>
      </c>
    </row>
    <row r="25" spans="1:14">
      <c r="A25" s="21" t="s">
        <v>103</v>
      </c>
      <c r="B25" s="21" t="s">
        <v>20</v>
      </c>
      <c r="C25" s="21" t="s">
        <v>105</v>
      </c>
      <c r="D25" s="21" t="s">
        <v>107</v>
      </c>
      <c r="E25" s="21" t="s">
        <v>108</v>
      </c>
      <c r="F25" s="21">
        <f>BoardQty*1</f>
        <v>1</v>
      </c>
      <c r="G25" s="22">
        <f>IF(MIN(K25)&lt;&gt;0,MIN(K25),"")</f>
        <v>0.2210733</v>
      </c>
      <c r="H25" s="23">
        <f>IF(AND(ISNUMBER(F25),ISNUMBER(G25)),F25*G25,"")</f>
        <v>0.2211</v>
      </c>
      <c r="I25" s="21">
        <v>2270</v>
      </c>
      <c r="J25" s="21"/>
      <c r="K25" s="22">
        <f>IFERROR(IF(OR(J25&gt;=L25,F25&gt;=L25),USD_EUR*LOOKUP(IF(J25="",F25,J25),{0,1,10,25,100,250,1000,2500,4000,8000},{0.0,0.189,0.16,0.148,0.114,0.109,0.102,0.081,0.068,0.065}),"MOQ="&amp;L25),"")</f>
        <v>0.2210733</v>
      </c>
      <c r="L25" s="21">
        <v>1</v>
      </c>
      <c r="M25" s="23">
        <f>IFERROR(IF(J25="",F25,J25)*K25,"")</f>
        <v>0.2211</v>
      </c>
      <c r="N25" s="21" t="s">
        <v>248</v>
      </c>
    </row>
    <row r="26" spans="1:14">
      <c r="A26" s="21" t="s">
        <v>110</v>
      </c>
      <c r="B26" s="21" t="s">
        <v>111</v>
      </c>
      <c r="C26" s="21" t="s">
        <v>111</v>
      </c>
      <c r="D26" s="21" t="s">
        <v>113</v>
      </c>
      <c r="E26" s="21" t="s">
        <v>114</v>
      </c>
      <c r="F26" s="21">
        <f>BoardQty*1</f>
        <v>1</v>
      </c>
      <c r="G26" s="22">
        <f>IF(MIN(K26)&lt;&gt;0,MIN(K26),"")</f>
        <v>1.602489</v>
      </c>
      <c r="H26" s="23">
        <f>IF(AND(ISNUMBER(F26),ISNUMBER(G26)),F26*G26,"")</f>
        <v>1.6025</v>
      </c>
      <c r="I26" s="21">
        <v>13867</v>
      </c>
      <c r="J26" s="21"/>
      <c r="K26" s="22">
        <f>IFERROR(IF(OR(J26&gt;=L26,F26&gt;=L26),USD_EUR*LOOKUP(IF(J26="",F26,J26),{0,1,10,100,500,1000,3000,6000,9000,24000},{0.0,1.37,0.98,0.736,0.642,0.607,0.566,0.541,0.514,0.468}),"MOQ="&amp;L26),"")</f>
        <v>1.602489</v>
      </c>
      <c r="L26" s="21">
        <v>1</v>
      </c>
      <c r="M26" s="23">
        <f>IFERROR(IF(J26="",F26,J26)*K26,"")</f>
        <v>1.6025</v>
      </c>
      <c r="N26" s="21" t="s">
        <v>249</v>
      </c>
    </row>
    <row r="27" spans="1:14">
      <c r="A27" s="21" t="s">
        <v>116</v>
      </c>
      <c r="B27" s="21" t="s">
        <v>117</v>
      </c>
      <c r="C27" s="21" t="s">
        <v>117</v>
      </c>
      <c r="D27" s="21" t="s">
        <v>120</v>
      </c>
      <c r="E27" s="21" t="s">
        <v>117</v>
      </c>
      <c r="F27" s="21">
        <f>BoardQty*1</f>
        <v>1</v>
      </c>
      <c r="G27" s="22">
        <f>IF(MIN(K27)&lt;&gt;0,MIN(K27),"")</f>
        <v>7.989051</v>
      </c>
      <c r="H27" s="23">
        <f>IF(AND(ISNUMBER(F27),ISNUMBER(G27)),F27*G27,"")</f>
        <v>7.9891</v>
      </c>
      <c r="I27" s="21">
        <v>553</v>
      </c>
      <c r="J27" s="21"/>
      <c r="K27" s="22">
        <f>IFERROR(IF(OR(J27&gt;=L27,F27&gt;=L27),USD_EUR*LOOKUP(IF(J27="",F27,J27),{0,1,10,25,100,250,1000},{0.0,6.83,6.27,5.69,5.13,4.86,4.13}),"MOQ="&amp;L27),"")</f>
        <v>7.989051</v>
      </c>
      <c r="L27" s="21">
        <v>1</v>
      </c>
      <c r="M27" s="23">
        <f>IFERROR(IF(J27="",F27,J27)*K27,"")</f>
        <v>7.9891</v>
      </c>
      <c r="N27" s="21" t="s">
        <v>250</v>
      </c>
    </row>
    <row r="28" spans="1:14">
      <c r="A28" s="21" t="s">
        <v>122</v>
      </c>
      <c r="B28" s="21" t="s">
        <v>123</v>
      </c>
      <c r="C28" s="21" t="s">
        <v>125</v>
      </c>
      <c r="D28" s="21" t="s">
        <v>127</v>
      </c>
      <c r="E28" s="21" t="s">
        <v>123</v>
      </c>
      <c r="F28" s="21">
        <f>BoardQty*1</f>
        <v>1</v>
      </c>
      <c r="G28" s="22">
        <f>IF(MIN(K28)&lt;&gt;0,MIN(K28),"")</f>
        <v>0.2818977</v>
      </c>
      <c r="H28" s="23">
        <f>IF(AND(ISNUMBER(F28),ISNUMBER(G28)),F28*G28,"")</f>
        <v>0.2819</v>
      </c>
      <c r="I28" s="21">
        <v>341560</v>
      </c>
      <c r="J28" s="21"/>
      <c r="K28" s="22">
        <f>IFERROR(IF(OR(J28&gt;=L28,F28&gt;=L28),USD_EUR*LOOKUP(IF(J28="",F28,J28),{0,1,10,100,1000,3000,6000,9000},{0.0,0.241,0.138,0.068,0.06,0.038,0.036,0.034}),"MOQ="&amp;L28),"")</f>
        <v>0.2818977</v>
      </c>
      <c r="L28" s="21">
        <v>1</v>
      </c>
      <c r="M28" s="23">
        <f>IFERROR(IF(J28="",F28,J28)*K28,"")</f>
        <v>0.2819</v>
      </c>
      <c r="N28" s="21" t="s">
        <v>251</v>
      </c>
    </row>
    <row r="29" spans="1:14">
      <c r="A29" s="21" t="s">
        <v>129</v>
      </c>
      <c r="B29" s="21" t="s">
        <v>130</v>
      </c>
      <c r="C29" s="21" t="s">
        <v>132</v>
      </c>
      <c r="D29" s="21" t="s">
        <v>134</v>
      </c>
      <c r="E29" s="21" t="s">
        <v>135</v>
      </c>
      <c r="F29" s="21">
        <f>BoardQty*1</f>
        <v>1</v>
      </c>
      <c r="G29" s="22">
        <f>IF(MIN(K29)&lt;&gt;0,MIN(K29),"")</f>
        <v>0.1005942</v>
      </c>
      <c r="H29" s="23">
        <f>IF(AND(ISNUMBER(F29),ISNUMBER(G29)),F29*G29,"")</f>
        <v>0.1006</v>
      </c>
      <c r="I29" s="21">
        <v>37456</v>
      </c>
      <c r="J29" s="21"/>
      <c r="K29" s="22">
        <f>IFERROR(IF(OR(J29&gt;=L29,F29&gt;=L29),USD_EUR*LOOKUP(IF(J29="",F29,J29),{0,1,10,100,1000,5000,10000},{0.0,0.086,0.012,0.008,0.007,0.005,0.003}),"MOQ="&amp;L29),"")</f>
        <v>0.1005942</v>
      </c>
      <c r="L29" s="21">
        <v>1</v>
      </c>
      <c r="M29" s="23">
        <f>IFERROR(IF(J29="",F29,J29)*K29,"")</f>
        <v>0.1006</v>
      </c>
      <c r="N29" s="21" t="s">
        <v>252</v>
      </c>
    </row>
    <row r="30" spans="1:14">
      <c r="A30" s="21" t="s">
        <v>137</v>
      </c>
      <c r="B30" s="21" t="s">
        <v>138</v>
      </c>
      <c r="C30" s="21" t="s">
        <v>139</v>
      </c>
      <c r="D30" s="21" t="s">
        <v>140</v>
      </c>
      <c r="E30" s="21" t="s">
        <v>141</v>
      </c>
      <c r="F30" s="21">
        <f>BoardQty*1</f>
        <v>1</v>
      </c>
      <c r="G30" s="22">
        <f>IF(MIN(K30)&lt;&gt;0,MIN(K30),"")</f>
        <v>0.1005942</v>
      </c>
      <c r="H30" s="23">
        <f>IF(AND(ISNUMBER(F30),ISNUMBER(G30)),F30*G30,"")</f>
        <v>0.1006</v>
      </c>
      <c r="I30" s="21">
        <v>1967099</v>
      </c>
      <c r="J30" s="21"/>
      <c r="K30" s="22">
        <f>IFERROR(IF(OR(J30&gt;=L30,F30&gt;=L30),USD_EUR*LOOKUP(IF(J30="",F30,J30),{0,1,10,100,5000,10000},{0.0,0.086,0.007,0.003,0.002,0.001}),"MOQ="&amp;L30),"")</f>
        <v>0.1005942</v>
      </c>
      <c r="L30" s="21">
        <v>1</v>
      </c>
      <c r="M30" s="23">
        <f>IFERROR(IF(J30="",F30,J30)*K30,"")</f>
        <v>0.1006</v>
      </c>
      <c r="N30" s="21" t="s">
        <v>253</v>
      </c>
    </row>
    <row r="31" spans="1:14">
      <c r="A31" s="21" t="s">
        <v>143</v>
      </c>
      <c r="B31" s="21" t="s">
        <v>144</v>
      </c>
      <c r="C31" s="21" t="s">
        <v>139</v>
      </c>
      <c r="D31" s="21" t="s">
        <v>145</v>
      </c>
      <c r="E31" s="21" t="s">
        <v>146</v>
      </c>
      <c r="F31" s="21">
        <f>BoardQty*1</f>
        <v>1</v>
      </c>
      <c r="G31" s="22">
        <f>IF(MIN(K31)&lt;&gt;0,MIN(K31),"")</f>
        <v>0.1005942</v>
      </c>
      <c r="H31" s="23">
        <f>IF(AND(ISNUMBER(F31),ISNUMBER(G31)),F31*G31,"")</f>
        <v>0.1006</v>
      </c>
      <c r="I31" s="21">
        <v>104138</v>
      </c>
      <c r="J31" s="21"/>
      <c r="K31" s="22">
        <f>IFERROR(IF(OR(J31&gt;=L31,F31&gt;=L31),USD_EUR*LOOKUP(IF(J31="",F31,J31),{0,1,10,100,1000,10000,20000},{0.0,0.086,0.009,0.006,0.005,0.003,0.002}),"MOQ="&amp;L31),"")</f>
        <v>0.1005942</v>
      </c>
      <c r="L31" s="21">
        <v>1</v>
      </c>
      <c r="M31" s="23">
        <f>IFERROR(IF(J31="",F31,J31)*K31,"")</f>
        <v>0.1006</v>
      </c>
      <c r="N31" s="21" t="s">
        <v>254</v>
      </c>
    </row>
    <row r="32" spans="1:14">
      <c r="A32" s="21" t="s">
        <v>148</v>
      </c>
      <c r="B32" s="21" t="s">
        <v>149</v>
      </c>
      <c r="C32" s="21" t="s">
        <v>139</v>
      </c>
      <c r="D32" s="21" t="s">
        <v>140</v>
      </c>
      <c r="E32" s="21" t="s">
        <v>150</v>
      </c>
      <c r="F32" s="21">
        <f>CEILING(BoardQty*2,1)</f>
        <v>2</v>
      </c>
      <c r="G32" s="22">
        <f>IF(MIN(K32)&lt;&gt;0,MIN(K32),"")</f>
        <v>0.1005942</v>
      </c>
      <c r="H32" s="23">
        <f>IF(AND(ISNUMBER(F32),ISNUMBER(G32)),F32*G32,"")</f>
        <v>0.2012</v>
      </c>
      <c r="I32" s="21">
        <v>122320</v>
      </c>
      <c r="J32" s="21"/>
      <c r="K32" s="22">
        <f>IFERROR(IF(OR(J32&gt;=L32,F32&gt;=L32),USD_EUR*LOOKUP(IF(J32="",F32,J32),{0,1,10,100,10000},{0.0,0.086,0.007,0.003,0.003}),"MOQ="&amp;L32),"")</f>
        <v>0.1005942</v>
      </c>
      <c r="L32" s="21">
        <v>1</v>
      </c>
      <c r="M32" s="23">
        <f>IFERROR(IF(J32="",F32,J32)*K32,"")</f>
        <v>0.2012</v>
      </c>
      <c r="N32" s="21" t="s">
        <v>255</v>
      </c>
    </row>
    <row r="33" spans="1:14">
      <c r="A33" s="21" t="s">
        <v>152</v>
      </c>
      <c r="B33" s="21" t="s">
        <v>153</v>
      </c>
      <c r="C33" s="21" t="s">
        <v>139</v>
      </c>
      <c r="D33" s="21" t="s">
        <v>140</v>
      </c>
      <c r="E33" s="21" t="s">
        <v>154</v>
      </c>
      <c r="F33" s="21">
        <f>CEILING(BoardQty*4,1)</f>
        <v>4</v>
      </c>
      <c r="G33" s="22">
        <f>IF(MIN(K33)&lt;&gt;0,MIN(K33),"")</f>
        <v>0.1005942</v>
      </c>
      <c r="H33" s="23">
        <f>IF(AND(ISNUMBER(F33),ISNUMBER(G33)),F33*G33,"")</f>
        <v>0.4024</v>
      </c>
      <c r="I33" s="21">
        <v>192190</v>
      </c>
      <c r="J33" s="21"/>
      <c r="K33" s="22">
        <f>IFERROR(IF(OR(J33&gt;=L33,F33&gt;=L33),USD_EUR*LOOKUP(IF(J33="",F33,J33),{0,1,10,100,500,10000},{0.0,0.086,0.007,0.004,0.003,0.003}),"MOQ="&amp;L33),"")</f>
        <v>0.1005942</v>
      </c>
      <c r="L33" s="21">
        <v>1</v>
      </c>
      <c r="M33" s="23">
        <f>IFERROR(IF(J33="",F33,J33)*K33,"")</f>
        <v>0.4024</v>
      </c>
      <c r="N33" s="21" t="s">
        <v>256</v>
      </c>
    </row>
    <row r="34" spans="1:14">
      <c r="A34" s="21" t="s">
        <v>156</v>
      </c>
      <c r="B34" s="21" t="s">
        <v>157</v>
      </c>
      <c r="C34" s="21" t="s">
        <v>159</v>
      </c>
      <c r="D34" s="21" t="s">
        <v>161</v>
      </c>
      <c r="E34" s="21" t="s">
        <v>162</v>
      </c>
      <c r="F34" s="21">
        <f>BoardQty*1</f>
        <v>1</v>
      </c>
      <c r="G34" s="22">
        <f>IF(MIN(K34)&lt;&gt;0,MIN(K34),"")</f>
        <v>0.5333832000000001</v>
      </c>
      <c r="H34" s="23">
        <f>IF(AND(ISNUMBER(F34),ISNUMBER(G34)),F34*G34,"")</f>
        <v>0.5334</v>
      </c>
      <c r="I34" s="21">
        <v>4415</v>
      </c>
      <c r="J34" s="21"/>
      <c r="K34" s="22">
        <f>IFERROR(IF(OR(J34&gt;=L34,F34&gt;=L34),USD_EUR*LOOKUP(IF(J34="",F34,J34),{0,1,10,50,100,250,400,800},{0.0,0.456,0.452,0.42,0.382,0.344,0.311,0.271}),"MOQ="&amp;L34),"")</f>
        <v>0.5333832000000001</v>
      </c>
      <c r="L34" s="21">
        <v>1</v>
      </c>
      <c r="M34" s="23">
        <f>IFERROR(IF(J34="",F34,J34)*K34,"")</f>
        <v>0.5334</v>
      </c>
      <c r="N34" s="21" t="s">
        <v>257</v>
      </c>
    </row>
    <row r="35" spans="1:14">
      <c r="A35" s="21" t="s">
        <v>164</v>
      </c>
      <c r="B35" s="21" t="s">
        <v>165</v>
      </c>
      <c r="C35" s="21" t="s">
        <v>159</v>
      </c>
      <c r="D35" s="21" t="s">
        <v>161</v>
      </c>
      <c r="E35" s="21" t="s">
        <v>162</v>
      </c>
      <c r="F35" s="21">
        <f>BoardQty*1</f>
        <v>1</v>
      </c>
      <c r="G35" s="22">
        <f>IF(MIN(K35)&lt;&gt;0,MIN(K35),"")</f>
        <v>0.5333832000000001</v>
      </c>
      <c r="H35" s="23">
        <f>IF(AND(ISNUMBER(F35),ISNUMBER(G35)),F35*G35,"")</f>
        <v>0.5334</v>
      </c>
      <c r="I35" s="21">
        <v>4415</v>
      </c>
      <c r="J35" s="21"/>
      <c r="K35" s="22">
        <f>IFERROR(IF(OR(J35&gt;=L35,F35&gt;=L35),USD_EUR*LOOKUP(IF(J35="",F35,J35),{0,1,10,50,100,250,400,800},{0.0,0.456,0.452,0.42,0.382,0.344,0.311,0.271}),"MOQ="&amp;L35),"")</f>
        <v>0.5333832000000001</v>
      </c>
      <c r="L35" s="21">
        <v>1</v>
      </c>
      <c r="M35" s="23">
        <f>IFERROR(IF(J35="",F35,J35)*K35,"")</f>
        <v>0.5334</v>
      </c>
      <c r="N35" s="21" t="s">
        <v>257</v>
      </c>
    </row>
    <row r="36" spans="1:14">
      <c r="A36" s="21" t="s">
        <v>167</v>
      </c>
      <c r="B36" s="21" t="s">
        <v>168</v>
      </c>
      <c r="C36" s="21" t="s">
        <v>170</v>
      </c>
      <c r="D36" s="21" t="s">
        <v>172</v>
      </c>
      <c r="E36" s="21" t="s">
        <v>170</v>
      </c>
      <c r="F36" s="21">
        <f>BoardQty*1</f>
        <v>1</v>
      </c>
      <c r="G36" s="22">
        <f>IF(MIN(K36)&lt;&gt;0,MIN(K36),"")</f>
        <v>0.3017826</v>
      </c>
      <c r="H36" s="23">
        <f>IF(AND(ISNUMBER(F36),ISNUMBER(G36)),F36*G36,"")</f>
        <v>0.3018</v>
      </c>
      <c r="I36" s="24" t="s">
        <v>259</v>
      </c>
      <c r="J36" s="21"/>
      <c r="K36" s="22">
        <f>IFERROR(IF(OR(J36&gt;=L36,F36&gt;=L36),USD_EUR*LOOKUP(IF(J36="",F36,J36),{0,1,10,100,250,1000,2500,4500,9000},{0.0,0.258,0.223,0.183,0.164,0.157,0.144,0.144,0.139}),"MOQ="&amp;L36),"")</f>
        <v>0.3017826</v>
      </c>
      <c r="L36" s="21">
        <v>1</v>
      </c>
      <c r="M36" s="23">
        <f>IFERROR(IF(J36="",F36,J36)*K36,"")</f>
        <v>0.3018</v>
      </c>
      <c r="N36" s="21" t="s">
        <v>258</v>
      </c>
    </row>
    <row r="37" spans="1:14">
      <c r="A37" s="21" t="s">
        <v>174</v>
      </c>
      <c r="B37" s="21" t="s">
        <v>175</v>
      </c>
      <c r="C37" s="21" t="s">
        <v>177</v>
      </c>
      <c r="D37" s="21" t="s">
        <v>179</v>
      </c>
      <c r="E37" s="21" t="s">
        <v>180</v>
      </c>
      <c r="F37" s="21">
        <f>BoardQty*1</f>
        <v>1</v>
      </c>
      <c r="G37" s="22">
        <f>IF(MIN(K37)&lt;&gt;0,MIN(K37),"")</f>
        <v>0.7848687</v>
      </c>
      <c r="H37" s="23">
        <f>IF(AND(ISNUMBER(F37),ISNUMBER(G37)),F37*G37,"")</f>
        <v>0.7849</v>
      </c>
      <c r="I37" s="21">
        <v>54641</v>
      </c>
      <c r="J37" s="21"/>
      <c r="K37" s="22">
        <f>IFERROR(IF(OR(J37&gt;=L37,F37&gt;=L37),USD_EUR*LOOKUP(IF(J37="",F37,J37),{0,1,10,25,100,250,500,800,4000},{0.0,0.671,0.544,0.471,0.443,0.409,0.368,0.334,0.32}),"MOQ="&amp;L37),"")</f>
        <v>0.7848687</v>
      </c>
      <c r="L37" s="21">
        <v>1</v>
      </c>
      <c r="M37" s="23">
        <f>IFERROR(IF(J37="",F37,J37)*K37,"")</f>
        <v>0.7849</v>
      </c>
      <c r="N37" s="21" t="s">
        <v>260</v>
      </c>
    </row>
    <row r="38" spans="1:14">
      <c r="A38" s="21" t="s">
        <v>182</v>
      </c>
      <c r="B38" s="21" t="s">
        <v>183</v>
      </c>
      <c r="C38" s="21" t="s">
        <v>185</v>
      </c>
      <c r="D38" s="21" t="s">
        <v>161</v>
      </c>
      <c r="E38" s="21" t="s">
        <v>187</v>
      </c>
      <c r="F38" s="21">
        <f>BoardQty*1</f>
        <v>1</v>
      </c>
      <c r="G38" s="22">
        <f>IF(MIN(K38)&lt;&gt;0,MIN(K38),"")</f>
        <v>3.2517659999999995</v>
      </c>
      <c r="H38" s="23">
        <f>IF(AND(ISNUMBER(F38),ISNUMBER(G38)),F38*G38,"")</f>
        <v>3.2518</v>
      </c>
      <c r="I38" s="21">
        <v>1813</v>
      </c>
      <c r="J38" s="21"/>
      <c r="K38" s="22">
        <f>IFERROR(IF(OR(J38&gt;=L38,F38&gt;=L38),USD_EUR*LOOKUP(IF(J38="",F38,J38),{0,1,10,50,100,500,750},{0.0,2.78,2.63,2.35,2.06,1.73,1.59}),"MOQ="&amp;L38),"")</f>
        <v>3.2517659999999995</v>
      </c>
      <c r="L38" s="21">
        <v>1</v>
      </c>
      <c r="M38" s="23">
        <f>IFERROR(IF(J38="",F38,J38)*K38,"")</f>
        <v>3.2518</v>
      </c>
      <c r="N38" s="21" t="s">
        <v>261</v>
      </c>
    </row>
    <row r="39" spans="1:14">
      <c r="A39" s="21" t="s">
        <v>189</v>
      </c>
      <c r="B39" s="21" t="s">
        <v>190</v>
      </c>
      <c r="C39" s="21" t="s">
        <v>192</v>
      </c>
      <c r="D39" s="21" t="s">
        <v>194</v>
      </c>
      <c r="E39" s="21" t="s">
        <v>195</v>
      </c>
      <c r="F39" s="21">
        <f>BoardQty*1</f>
        <v>1</v>
      </c>
      <c r="G39" s="22">
        <f>IF(MIN(K39)&lt;&gt;0,MIN(K39),"")</f>
        <v>1.462125</v>
      </c>
      <c r="H39" s="23">
        <f>IF(AND(ISNUMBER(F39),ISNUMBER(G39)),F39*G39,"")</f>
        <v>1.4621</v>
      </c>
      <c r="I39" s="21">
        <v>7703</v>
      </c>
      <c r="J39" s="21"/>
      <c r="K39" s="22">
        <f>IFERROR(IF(OR(J39&gt;=L39,F39&gt;=L39),USD_EUR*LOOKUP(IF(J39="",F39,J39),{0,1,10,50,250,500,1000,2500,5000},{0.0,1.25,0.894,0.869,0.857,0.845,0.833,0.832,0.727}),"MOQ="&amp;L39),"")</f>
        <v>1.462125</v>
      </c>
      <c r="L39" s="21">
        <v>1</v>
      </c>
      <c r="M39" s="23">
        <f>IFERROR(IF(J39="",F39,J39)*K39,"")</f>
        <v>1.4621</v>
      </c>
      <c r="N39" s="21" t="s">
        <v>262</v>
      </c>
    </row>
    <row r="41" spans="1:14">
      <c r="B41" s="25" t="s">
        <v>266</v>
      </c>
      <c r="C41">
        <v>1.1697</v>
      </c>
      <c r="G41" s="14" t="s">
        <v>264</v>
      </c>
      <c r="H41" s="16">
        <f>SUM(M41)</f>
        <v>0</v>
      </c>
      <c r="I41" s="26" t="s">
        <v>263</v>
      </c>
      <c r="J41" s="17">
        <f>IFERROR(IF(COUNTIF(J10:J39,"&gt;0")&gt;0,COUNTIF(J10:J39,"&gt;0")&amp;" of "&amp;(ROWS(L10:L39)-COUNTBLANK(L10:L39))&amp;" parts purchased",""),"")</f>
        <v/>
      </c>
      <c r="M41" s="16">
        <f>SUMIF(J10:J39,"&gt;0",M10:M39)</f>
        <v>0</v>
      </c>
    </row>
    <row r="42" spans="1:14">
      <c r="G42" s="25" t="s">
        <v>265</v>
      </c>
      <c r="J42" s="27">
        <f>CONCATENATE(J73,J74,J75,J76,J77,J78,J79,J80,J81,J82,J83,J84,J85,J86,J87,J88,J89,J90,J91,J92,J93,J94,J95,J96,J97,J98,J99,J100,J101,J102)</f>
        <v/>
      </c>
    </row>
    <row r="43" spans="1:14">
      <c r="A43" s="28" t="s">
        <v>270</v>
      </c>
      <c r="B43" s="29" t="s">
        <v>271</v>
      </c>
    </row>
    <row r="44" spans="1:14">
      <c r="A44" s="30" t="s">
        <v>272</v>
      </c>
    </row>
    <row r="73" spans="10:10" ht="30" hidden="1" customHeight="1">
      <c r="J73" t="str">
        <f t="array" ref="J73:J102">IF(ISNUMBER(J10:J39)*(J10:J39&gt;=L10:L39)*(N10:N39&lt;&gt;""),N10:N39&amp;"|"&amp;TEXT(ROUNDUP(J10:J39/IF(ISNUMBER(L10:L39),L10:L39,1),0)*L10:L39,"##0")&amp;"|"&amp;SUBSTITUTE(SUBSTITUTE(SUBSTITUTE(IF(PURCHASE_DESCRIPTION&lt;&gt;"",PURCHASE_DESCRIPTION&amp;":","")&amp;A10:A39,"|",";")," ","_"),"
","_")&amp;CHAR(10),"")</f>
        <v/>
      </c>
    </row>
    <row r="74" spans="10:10" ht="30" hidden="1" customHeight="1">
      <c r="J74">
        <v>0</v>
      </c>
    </row>
    <row r="75" spans="10:10" ht="30" hidden="1" customHeight="1">
      <c r="J75">
        <v>0</v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</sheetData>
  <mergeCells count="4">
    <mergeCell ref="A8:H8"/>
    <mergeCell ref="I8:N8"/>
    <mergeCell ref="J42:M72"/>
    <mergeCell ref="A1:H1"/>
  </mergeCells>
  <conditionalFormatting sqref="F10">
    <cfRule type="expression" dxfId="2" priority="61">
      <formula>AND(ISBLANK(E10),ISBLANK(M10))</formula>
    </cfRule>
    <cfRule type="expression" dxfId="3" priority="62">
      <formula>IF(SUM(I10)=0,1,0)</formula>
    </cfRule>
    <cfRule type="cellIs" dxfId="0" priority="63" operator="greaterThan">
      <formula>SUM(I10)</formula>
    </cfRule>
    <cfRule type="cellIs" dxfId="4" priority="64" operator="greaterThan">
      <formula>SUM(IF(ISNUMBER(K10),J10,0))</formula>
    </cfRule>
  </conditionalFormatting>
  <conditionalFormatting sqref="F11">
    <cfRule type="expression" dxfId="2" priority="65">
      <formula>AND(ISBLANK(E11),ISBLANK(M11))</formula>
    </cfRule>
    <cfRule type="expression" dxfId="3" priority="66">
      <formula>IF(SUM(I11)=0,1,0)</formula>
    </cfRule>
    <cfRule type="cellIs" dxfId="0" priority="67" operator="greaterThan">
      <formula>SUM(I11)</formula>
    </cfRule>
    <cfRule type="cellIs" dxfId="4" priority="68" operator="greaterThan">
      <formula>SUM(IF(ISNUMBER(K11),J11,0))</formula>
    </cfRule>
  </conditionalFormatting>
  <conditionalFormatting sqref="F12">
    <cfRule type="expression" dxfId="2" priority="69">
      <formula>AND(ISBLANK(E12),ISBLANK(M12))</formula>
    </cfRule>
    <cfRule type="expression" dxfId="3" priority="70">
      <formula>IF(SUM(I12)=0,1,0)</formula>
    </cfRule>
    <cfRule type="cellIs" dxfId="0" priority="71" operator="greaterThan">
      <formula>SUM(I12)</formula>
    </cfRule>
    <cfRule type="cellIs" dxfId="4" priority="72" operator="greaterThan">
      <formula>SUM(IF(ISNUMBER(K12),J12,0))</formula>
    </cfRule>
  </conditionalFormatting>
  <conditionalFormatting sqref="F13">
    <cfRule type="expression" dxfId="2" priority="73">
      <formula>AND(ISBLANK(E13),ISBLANK(M13))</formula>
    </cfRule>
    <cfRule type="expression" dxfId="3" priority="74">
      <formula>IF(SUM(I13)=0,1,0)</formula>
    </cfRule>
    <cfRule type="cellIs" dxfId="0" priority="75" operator="greaterThan">
      <formula>SUM(I13)</formula>
    </cfRule>
    <cfRule type="cellIs" dxfId="4" priority="76" operator="greaterThan">
      <formula>SUM(IF(ISNUMBER(K13),J13,0))</formula>
    </cfRule>
  </conditionalFormatting>
  <conditionalFormatting sqref="F14">
    <cfRule type="expression" dxfId="2" priority="77">
      <formula>AND(ISBLANK(E14),ISBLANK(M14))</formula>
    </cfRule>
    <cfRule type="expression" dxfId="3" priority="78">
      <formula>IF(SUM(I14)=0,1,0)</formula>
    </cfRule>
    <cfRule type="cellIs" dxfId="0" priority="79" operator="greaterThan">
      <formula>SUM(I14)</formula>
    </cfRule>
    <cfRule type="cellIs" dxfId="4" priority="80" operator="greaterThan">
      <formula>SUM(IF(ISNUMBER(K14),J14,0))</formula>
    </cfRule>
  </conditionalFormatting>
  <conditionalFormatting sqref="F15">
    <cfRule type="expression" dxfId="2" priority="81">
      <formula>AND(ISBLANK(E15),ISBLANK(M15))</formula>
    </cfRule>
    <cfRule type="expression" dxfId="3" priority="82">
      <formula>IF(SUM(I15)=0,1,0)</formula>
    </cfRule>
    <cfRule type="cellIs" dxfId="0" priority="83" operator="greaterThan">
      <formula>SUM(I15)</formula>
    </cfRule>
    <cfRule type="cellIs" dxfId="4" priority="84" operator="greaterThan">
      <formula>SUM(IF(ISNUMBER(K15),J15,0))</formula>
    </cfRule>
  </conditionalFormatting>
  <conditionalFormatting sqref="F16">
    <cfRule type="expression" dxfId="2" priority="85">
      <formula>AND(ISBLANK(E16),ISBLANK(M16))</formula>
    </cfRule>
    <cfRule type="expression" dxfId="3" priority="86">
      <formula>IF(SUM(I16)=0,1,0)</formula>
    </cfRule>
    <cfRule type="cellIs" dxfId="0" priority="87" operator="greaterThan">
      <formula>SUM(I16)</formula>
    </cfRule>
    <cfRule type="cellIs" dxfId="4" priority="88" operator="greaterThan">
      <formula>SUM(IF(ISNUMBER(K16),J16,0))</formula>
    </cfRule>
  </conditionalFormatting>
  <conditionalFormatting sqref="F17">
    <cfRule type="expression" dxfId="2" priority="89">
      <formula>AND(ISBLANK(E17),ISBLANK(M17))</formula>
    </cfRule>
    <cfRule type="expression" dxfId="3" priority="90">
      <formula>IF(SUM(I17)=0,1,0)</formula>
    </cfRule>
    <cfRule type="cellIs" dxfId="0" priority="91" operator="greaterThan">
      <formula>SUM(I17)</formula>
    </cfRule>
    <cfRule type="cellIs" dxfId="4" priority="92" operator="greaterThan">
      <formula>SUM(IF(ISNUMBER(K17),J17,0))</formula>
    </cfRule>
  </conditionalFormatting>
  <conditionalFormatting sqref="F18">
    <cfRule type="expression" dxfId="2" priority="93">
      <formula>AND(ISBLANK(E18),ISBLANK(M18))</formula>
    </cfRule>
    <cfRule type="expression" dxfId="3" priority="94">
      <formula>IF(SUM(I18)=0,1,0)</formula>
    </cfRule>
    <cfRule type="cellIs" dxfId="0" priority="95" operator="greaterThan">
      <formula>SUM(I18)</formula>
    </cfRule>
    <cfRule type="cellIs" dxfId="4" priority="96" operator="greaterThan">
      <formula>SUM(IF(ISNUMBER(K18),J18,0))</formula>
    </cfRule>
  </conditionalFormatting>
  <conditionalFormatting sqref="F19">
    <cfRule type="expression" dxfId="2" priority="97">
      <formula>AND(ISBLANK(E19),ISBLANK(M19))</formula>
    </cfRule>
    <cfRule type="expression" dxfId="3" priority="98">
      <formula>IF(SUM(I19)=0,1,0)</formula>
    </cfRule>
    <cfRule type="cellIs" dxfId="0" priority="99" operator="greaterThan">
      <formula>SUM(I19)</formula>
    </cfRule>
    <cfRule type="cellIs" dxfId="4" priority="100" operator="greaterThan">
      <formula>SUM(IF(ISNUMBER(K19),J19,0))</formula>
    </cfRule>
  </conditionalFormatting>
  <conditionalFormatting sqref="F20">
    <cfRule type="expression" dxfId="2" priority="101">
      <formula>AND(ISBLANK(E20),ISBLANK(M20))</formula>
    </cfRule>
    <cfRule type="expression" dxfId="3" priority="102">
      <formula>IF(SUM(I20)=0,1,0)</formula>
    </cfRule>
    <cfRule type="cellIs" dxfId="0" priority="103" operator="greaterThan">
      <formula>SUM(I20)</formula>
    </cfRule>
    <cfRule type="cellIs" dxfId="4" priority="104" operator="greaterThan">
      <formula>SUM(IF(ISNUMBER(K20),J20,0))</formula>
    </cfRule>
  </conditionalFormatting>
  <conditionalFormatting sqref="F21">
    <cfRule type="expression" dxfId="2" priority="105">
      <formula>AND(ISBLANK(E21),ISBLANK(M21))</formula>
    </cfRule>
    <cfRule type="expression" dxfId="3" priority="106">
      <formula>IF(SUM(I21)=0,1,0)</formula>
    </cfRule>
    <cfRule type="cellIs" dxfId="0" priority="107" operator="greaterThan">
      <formula>SUM(I21)</formula>
    </cfRule>
    <cfRule type="cellIs" dxfId="4" priority="108" operator="greaterThan">
      <formula>SUM(IF(ISNUMBER(K21),J21,0))</formula>
    </cfRule>
  </conditionalFormatting>
  <conditionalFormatting sqref="F22">
    <cfRule type="expression" dxfId="2" priority="109">
      <formula>AND(ISBLANK(E22),ISBLANK(M22))</formula>
    </cfRule>
    <cfRule type="expression" dxfId="3" priority="110">
      <formula>IF(SUM(I22)=0,1,0)</formula>
    </cfRule>
    <cfRule type="cellIs" dxfId="0" priority="111" operator="greaterThan">
      <formula>SUM(I22)</formula>
    </cfRule>
    <cfRule type="cellIs" dxfId="4" priority="112" operator="greaterThan">
      <formula>SUM(IF(ISNUMBER(K22),J22,0))</formula>
    </cfRule>
  </conditionalFormatting>
  <conditionalFormatting sqref="F23">
    <cfRule type="expression" dxfId="2" priority="113">
      <formula>AND(ISBLANK(E23),ISBLANK(M23))</formula>
    </cfRule>
    <cfRule type="expression" dxfId="3" priority="114">
      <formula>IF(SUM(I23)=0,1,0)</formula>
    </cfRule>
    <cfRule type="cellIs" dxfId="0" priority="115" operator="greaterThan">
      <formula>SUM(I23)</formula>
    </cfRule>
    <cfRule type="cellIs" dxfId="4" priority="116" operator="greaterThan">
      <formula>SUM(IF(ISNUMBER(K23),J23,0))</formula>
    </cfRule>
  </conditionalFormatting>
  <conditionalFormatting sqref="F24">
    <cfRule type="expression" dxfId="2" priority="117">
      <formula>AND(ISBLANK(E24),ISBLANK(M24))</formula>
    </cfRule>
    <cfRule type="expression" dxfId="3" priority="118">
      <formula>IF(SUM(I24)=0,1,0)</formula>
    </cfRule>
    <cfRule type="cellIs" dxfId="0" priority="119" operator="greaterThan">
      <formula>SUM(I24)</formula>
    </cfRule>
    <cfRule type="cellIs" dxfId="4" priority="120" operator="greaterThan">
      <formula>SUM(IF(ISNUMBER(K24),J24,0))</formula>
    </cfRule>
  </conditionalFormatting>
  <conditionalFormatting sqref="F25">
    <cfRule type="expression" dxfId="2" priority="121">
      <formula>AND(ISBLANK(E25),ISBLANK(M25))</formula>
    </cfRule>
    <cfRule type="expression" dxfId="3" priority="122">
      <formula>IF(SUM(I25)=0,1,0)</formula>
    </cfRule>
    <cfRule type="cellIs" dxfId="0" priority="123" operator="greaterThan">
      <formula>SUM(I25)</formula>
    </cfRule>
    <cfRule type="cellIs" dxfId="4" priority="124" operator="greaterThan">
      <formula>SUM(IF(ISNUMBER(K25),J25,0))</formula>
    </cfRule>
  </conditionalFormatting>
  <conditionalFormatting sqref="F26">
    <cfRule type="expression" dxfId="2" priority="125">
      <formula>AND(ISBLANK(E26),ISBLANK(M26))</formula>
    </cfRule>
    <cfRule type="expression" dxfId="3" priority="126">
      <formula>IF(SUM(I26)=0,1,0)</formula>
    </cfRule>
    <cfRule type="cellIs" dxfId="0" priority="127" operator="greaterThan">
      <formula>SUM(I26)</formula>
    </cfRule>
    <cfRule type="cellIs" dxfId="4" priority="128" operator="greaterThan">
      <formula>SUM(IF(ISNUMBER(K26),J26,0))</formula>
    </cfRule>
  </conditionalFormatting>
  <conditionalFormatting sqref="F27">
    <cfRule type="expression" dxfId="2" priority="129">
      <formula>AND(ISBLANK(E27),ISBLANK(M27))</formula>
    </cfRule>
    <cfRule type="expression" dxfId="3" priority="130">
      <formula>IF(SUM(I27)=0,1,0)</formula>
    </cfRule>
    <cfRule type="cellIs" dxfId="0" priority="131" operator="greaterThan">
      <formula>SUM(I27)</formula>
    </cfRule>
    <cfRule type="cellIs" dxfId="4" priority="132" operator="greaterThan">
      <formula>SUM(IF(ISNUMBER(K27),J27,0))</formula>
    </cfRule>
  </conditionalFormatting>
  <conditionalFormatting sqref="F28">
    <cfRule type="expression" dxfId="2" priority="133">
      <formula>AND(ISBLANK(E28),ISBLANK(M28))</formula>
    </cfRule>
    <cfRule type="expression" dxfId="3" priority="134">
      <formula>IF(SUM(I28)=0,1,0)</formula>
    </cfRule>
    <cfRule type="cellIs" dxfId="0" priority="135" operator="greaterThan">
      <formula>SUM(I28)</formula>
    </cfRule>
    <cfRule type="cellIs" dxfId="4" priority="136" operator="greaterThan">
      <formula>SUM(IF(ISNUMBER(K28),J28,0))</formula>
    </cfRule>
  </conditionalFormatting>
  <conditionalFormatting sqref="F29">
    <cfRule type="expression" dxfId="2" priority="137">
      <formula>AND(ISBLANK(E29),ISBLANK(M29))</formula>
    </cfRule>
    <cfRule type="expression" dxfId="3" priority="138">
      <formula>IF(SUM(I29)=0,1,0)</formula>
    </cfRule>
    <cfRule type="cellIs" dxfId="0" priority="139" operator="greaterThan">
      <formula>SUM(I29)</formula>
    </cfRule>
    <cfRule type="cellIs" dxfId="4" priority="140" operator="greaterThan">
      <formula>SUM(IF(ISNUMBER(K29),J29,0))</formula>
    </cfRule>
  </conditionalFormatting>
  <conditionalFormatting sqref="F30">
    <cfRule type="expression" dxfId="2" priority="141">
      <formula>AND(ISBLANK(E30),ISBLANK(M30))</formula>
    </cfRule>
    <cfRule type="expression" dxfId="3" priority="142">
      <formula>IF(SUM(I30)=0,1,0)</formula>
    </cfRule>
    <cfRule type="cellIs" dxfId="0" priority="143" operator="greaterThan">
      <formula>SUM(I30)</formula>
    </cfRule>
    <cfRule type="cellIs" dxfId="4" priority="144" operator="greaterThan">
      <formula>SUM(IF(ISNUMBER(K30),J30,0))</formula>
    </cfRule>
  </conditionalFormatting>
  <conditionalFormatting sqref="F31">
    <cfRule type="expression" dxfId="2" priority="145">
      <formula>AND(ISBLANK(E31),ISBLANK(M31))</formula>
    </cfRule>
    <cfRule type="expression" dxfId="3" priority="146">
      <formula>IF(SUM(I31)=0,1,0)</formula>
    </cfRule>
    <cfRule type="cellIs" dxfId="0" priority="147" operator="greaterThan">
      <formula>SUM(I31)</formula>
    </cfRule>
    <cfRule type="cellIs" dxfId="4" priority="148" operator="greaterThan">
      <formula>SUM(IF(ISNUMBER(K31),J31,0))</formula>
    </cfRule>
  </conditionalFormatting>
  <conditionalFormatting sqref="F32">
    <cfRule type="expression" dxfId="2" priority="149">
      <formula>AND(ISBLANK(E32),ISBLANK(M32))</formula>
    </cfRule>
    <cfRule type="expression" dxfId="3" priority="150">
      <formula>IF(SUM(I32)=0,1,0)</formula>
    </cfRule>
    <cfRule type="cellIs" dxfId="0" priority="151" operator="greaterThan">
      <formula>SUM(I32)</formula>
    </cfRule>
    <cfRule type="cellIs" dxfId="4" priority="152" operator="greaterThan">
      <formula>SUM(IF(ISNUMBER(K32),J32,0))</formula>
    </cfRule>
  </conditionalFormatting>
  <conditionalFormatting sqref="F33">
    <cfRule type="expression" dxfId="2" priority="153">
      <formula>AND(ISBLANK(E33),ISBLANK(M33))</formula>
    </cfRule>
    <cfRule type="expression" dxfId="3" priority="154">
      <formula>IF(SUM(I33)=0,1,0)</formula>
    </cfRule>
    <cfRule type="cellIs" dxfId="0" priority="155" operator="greaterThan">
      <formula>SUM(I33)</formula>
    </cfRule>
    <cfRule type="cellIs" dxfId="4" priority="156" operator="greaterThan">
      <formula>SUM(IF(ISNUMBER(K33),J33,0))</formula>
    </cfRule>
  </conditionalFormatting>
  <conditionalFormatting sqref="F34">
    <cfRule type="expression" dxfId="2" priority="157">
      <formula>AND(ISBLANK(E34),ISBLANK(M34))</formula>
    </cfRule>
    <cfRule type="expression" dxfId="3" priority="158">
      <formula>IF(SUM(I34)=0,1,0)</formula>
    </cfRule>
    <cfRule type="cellIs" dxfId="0" priority="159" operator="greaterThan">
      <formula>SUM(I34)</formula>
    </cfRule>
    <cfRule type="cellIs" dxfId="4" priority="160" operator="greaterThan">
      <formula>SUM(IF(ISNUMBER(K34),J34,0))</formula>
    </cfRule>
  </conditionalFormatting>
  <conditionalFormatting sqref="F35">
    <cfRule type="expression" dxfId="2" priority="161">
      <formula>AND(ISBLANK(E35),ISBLANK(M35))</formula>
    </cfRule>
    <cfRule type="expression" dxfId="3" priority="162">
      <formula>IF(SUM(I35)=0,1,0)</formula>
    </cfRule>
    <cfRule type="cellIs" dxfId="0" priority="163" operator="greaterThan">
      <formula>SUM(I35)</formula>
    </cfRule>
    <cfRule type="cellIs" dxfId="4" priority="164" operator="greaterThan">
      <formula>SUM(IF(ISNUMBER(K35),J35,0))</formula>
    </cfRule>
  </conditionalFormatting>
  <conditionalFormatting sqref="F36">
    <cfRule type="expression" dxfId="2" priority="165">
      <formula>AND(ISBLANK(E36),ISBLANK(M36))</formula>
    </cfRule>
    <cfRule type="expression" dxfId="3" priority="166">
      <formula>IF(SUM(I36)=0,1,0)</formula>
    </cfRule>
    <cfRule type="cellIs" dxfId="0" priority="167" operator="greaterThan">
      <formula>SUM(I36)</formula>
    </cfRule>
    <cfRule type="cellIs" dxfId="4" priority="168" operator="greaterThan">
      <formula>SUM(IF(ISNUMBER(K36),J36,0))</formula>
    </cfRule>
  </conditionalFormatting>
  <conditionalFormatting sqref="F37">
    <cfRule type="expression" dxfId="2" priority="169">
      <formula>AND(ISBLANK(E37),ISBLANK(M37))</formula>
    </cfRule>
    <cfRule type="expression" dxfId="3" priority="170">
      <formula>IF(SUM(I37)=0,1,0)</formula>
    </cfRule>
    <cfRule type="cellIs" dxfId="0" priority="171" operator="greaterThan">
      <formula>SUM(I37)</formula>
    </cfRule>
    <cfRule type="cellIs" dxfId="4" priority="172" operator="greaterThan">
      <formula>SUM(IF(ISNUMBER(K37),J37,0))</formula>
    </cfRule>
  </conditionalFormatting>
  <conditionalFormatting sqref="F38">
    <cfRule type="expression" dxfId="2" priority="173">
      <formula>AND(ISBLANK(E38),ISBLANK(M38))</formula>
    </cfRule>
    <cfRule type="expression" dxfId="3" priority="174">
      <formula>IF(SUM(I38)=0,1,0)</formula>
    </cfRule>
    <cfRule type="cellIs" dxfId="0" priority="175" operator="greaterThan">
      <formula>SUM(I38)</formula>
    </cfRule>
    <cfRule type="cellIs" dxfId="4" priority="176" operator="greaterThan">
      <formula>SUM(IF(ISNUMBER(K38),J38,0))</formula>
    </cfRule>
  </conditionalFormatting>
  <conditionalFormatting sqref="F39">
    <cfRule type="expression" dxfId="2" priority="177">
      <formula>AND(ISBLANK(E39),ISBLANK(M39))</formula>
    </cfRule>
    <cfRule type="expression" dxfId="3" priority="178">
      <formula>IF(SUM(I39)=0,1,0)</formula>
    </cfRule>
    <cfRule type="cellIs" dxfId="0" priority="179" operator="greaterThan">
      <formula>SUM(I39)</formula>
    </cfRule>
    <cfRule type="cellIs" dxfId="4" priority="180" operator="greaterThan">
      <formula>SUM(IF(ISNUMBER(K39),J39,0))</formula>
    </cfRule>
  </conditionalFormatting>
  <conditionalFormatting sqref="I10">
    <cfRule type="cellIs" dxfId="0" priority="1" operator="lessThan">
      <formula>F10</formula>
    </cfRule>
  </conditionalFormatting>
  <conditionalFormatting sqref="I11">
    <cfRule type="cellIs" dxfId="0" priority="3" operator="lessThan">
      <formula>F11</formula>
    </cfRule>
  </conditionalFormatting>
  <conditionalFormatting sqref="I12">
    <cfRule type="cellIs" dxfId="0" priority="5" operator="lessThan">
      <formula>F12</formula>
    </cfRule>
  </conditionalFormatting>
  <conditionalFormatting sqref="I13">
    <cfRule type="cellIs" dxfId="0" priority="7" operator="lessThan">
      <formula>F13</formula>
    </cfRule>
  </conditionalFormatting>
  <conditionalFormatting sqref="I14">
    <cfRule type="cellIs" dxfId="0" priority="9" operator="lessThan">
      <formula>F14</formula>
    </cfRule>
  </conditionalFormatting>
  <conditionalFormatting sqref="I15">
    <cfRule type="cellIs" dxfId="0" priority="11" operator="lessThan">
      <formula>F15</formula>
    </cfRule>
  </conditionalFormatting>
  <conditionalFormatting sqref="I16">
    <cfRule type="cellIs" dxfId="0" priority="13" operator="lessThan">
      <formula>F16</formula>
    </cfRule>
  </conditionalFormatting>
  <conditionalFormatting sqref="I17">
    <cfRule type="cellIs" dxfId="0" priority="15" operator="lessThan">
      <formula>F17</formula>
    </cfRule>
  </conditionalFormatting>
  <conditionalFormatting sqref="I18">
    <cfRule type="cellIs" dxfId="0" priority="17" operator="lessThan">
      <formula>F18</formula>
    </cfRule>
  </conditionalFormatting>
  <conditionalFormatting sqref="I19">
    <cfRule type="cellIs" dxfId="0" priority="19" operator="lessThan">
      <formula>F19</formula>
    </cfRule>
  </conditionalFormatting>
  <conditionalFormatting sqref="I20">
    <cfRule type="cellIs" dxfId="0" priority="21" operator="lessThan">
      <formula>F20</formula>
    </cfRule>
  </conditionalFormatting>
  <conditionalFormatting sqref="I21">
    <cfRule type="cellIs" dxfId="0" priority="23" operator="lessThan">
      <formula>F21</formula>
    </cfRule>
  </conditionalFormatting>
  <conditionalFormatting sqref="I22">
    <cfRule type="cellIs" dxfId="0" priority="25" operator="lessThan">
      <formula>F22</formula>
    </cfRule>
  </conditionalFormatting>
  <conditionalFormatting sqref="I23">
    <cfRule type="cellIs" dxfId="0" priority="27" operator="lessThan">
      <formula>F23</formula>
    </cfRule>
  </conditionalFormatting>
  <conditionalFormatting sqref="I24">
    <cfRule type="cellIs" dxfId="0" priority="29" operator="lessThan">
      <formula>F24</formula>
    </cfRule>
  </conditionalFormatting>
  <conditionalFormatting sqref="I25">
    <cfRule type="cellIs" dxfId="0" priority="31" operator="lessThan">
      <formula>F25</formula>
    </cfRule>
  </conditionalFormatting>
  <conditionalFormatting sqref="I26">
    <cfRule type="cellIs" dxfId="0" priority="33" operator="lessThan">
      <formula>F26</formula>
    </cfRule>
  </conditionalFormatting>
  <conditionalFormatting sqref="I27">
    <cfRule type="cellIs" dxfId="0" priority="35" operator="lessThan">
      <formula>F27</formula>
    </cfRule>
  </conditionalFormatting>
  <conditionalFormatting sqref="I28">
    <cfRule type="cellIs" dxfId="0" priority="37" operator="lessThan">
      <formula>F28</formula>
    </cfRule>
  </conditionalFormatting>
  <conditionalFormatting sqref="I29">
    <cfRule type="cellIs" dxfId="0" priority="39" operator="lessThan">
      <formula>F29</formula>
    </cfRule>
  </conditionalFormatting>
  <conditionalFormatting sqref="I30">
    <cfRule type="cellIs" dxfId="0" priority="41" operator="lessThan">
      <formula>F30</formula>
    </cfRule>
  </conditionalFormatting>
  <conditionalFormatting sqref="I31">
    <cfRule type="cellIs" dxfId="0" priority="43" operator="lessThan">
      <formula>F31</formula>
    </cfRule>
  </conditionalFormatting>
  <conditionalFormatting sqref="I32">
    <cfRule type="cellIs" dxfId="0" priority="45" operator="lessThan">
      <formula>F32</formula>
    </cfRule>
  </conditionalFormatting>
  <conditionalFormatting sqref="I33">
    <cfRule type="cellIs" dxfId="0" priority="47" operator="lessThan">
      <formula>F33</formula>
    </cfRule>
  </conditionalFormatting>
  <conditionalFormatting sqref="I34">
    <cfRule type="cellIs" dxfId="0" priority="49" operator="lessThan">
      <formula>F34</formula>
    </cfRule>
  </conditionalFormatting>
  <conditionalFormatting sqref="I35">
    <cfRule type="cellIs" dxfId="0" priority="51" operator="lessThan">
      <formula>F35</formula>
    </cfRule>
  </conditionalFormatting>
  <conditionalFormatting sqref="I36">
    <cfRule type="cellIs" dxfId="0" priority="53" operator="lessThan">
      <formula>F36</formula>
    </cfRule>
  </conditionalFormatting>
  <conditionalFormatting sqref="I37">
    <cfRule type="cellIs" dxfId="0" priority="55" operator="lessThan">
      <formula>F37</formula>
    </cfRule>
  </conditionalFormatting>
  <conditionalFormatting sqref="I38">
    <cfRule type="cellIs" dxfId="0" priority="57" operator="lessThan">
      <formula>F38</formula>
    </cfRule>
  </conditionalFormatting>
  <conditionalFormatting sqref="I39">
    <cfRule type="cellIs" dxfId="0" priority="59" operator="lessThan">
      <formula>F39</formula>
    </cfRule>
  </conditionalFormatting>
  <conditionalFormatting sqref="J10">
    <cfRule type="expression" dxfId="1" priority="2">
      <formula>AND(NOT(ISBLANK(J10)),OR(I10="NonStk",J10&gt;I10))</formula>
    </cfRule>
  </conditionalFormatting>
  <conditionalFormatting sqref="J11">
    <cfRule type="expression" dxfId="1" priority="4">
      <formula>AND(NOT(ISBLANK(J11)),OR(I11="NonStk",J11&gt;I11))</formula>
    </cfRule>
  </conditionalFormatting>
  <conditionalFormatting sqref="J12">
    <cfRule type="expression" dxfId="1" priority="6">
      <formula>AND(NOT(ISBLANK(J12)),OR(I12="NonStk",J12&gt;I12))</formula>
    </cfRule>
  </conditionalFormatting>
  <conditionalFormatting sqref="J13">
    <cfRule type="expression" dxfId="1" priority="8">
      <formula>AND(NOT(ISBLANK(J13)),OR(I13="NonStk",J13&gt;I13))</formula>
    </cfRule>
  </conditionalFormatting>
  <conditionalFormatting sqref="J14">
    <cfRule type="expression" dxfId="1" priority="10">
      <formula>AND(NOT(ISBLANK(J14)),OR(I14="NonStk",J14&gt;I14))</formula>
    </cfRule>
  </conditionalFormatting>
  <conditionalFormatting sqref="J15">
    <cfRule type="expression" dxfId="1" priority="12">
      <formula>AND(NOT(ISBLANK(J15)),OR(I15="NonStk",J15&gt;I15))</formula>
    </cfRule>
  </conditionalFormatting>
  <conditionalFormatting sqref="J16">
    <cfRule type="expression" dxfId="1" priority="14">
      <formula>AND(NOT(ISBLANK(J16)),OR(I16="NonStk",J16&gt;I16))</formula>
    </cfRule>
  </conditionalFormatting>
  <conditionalFormatting sqref="J17">
    <cfRule type="expression" dxfId="1" priority="16">
      <formula>AND(NOT(ISBLANK(J17)),OR(I17="NonStk",J17&gt;I17))</formula>
    </cfRule>
  </conditionalFormatting>
  <conditionalFormatting sqref="J18">
    <cfRule type="expression" dxfId="1" priority="18">
      <formula>AND(NOT(ISBLANK(J18)),OR(I18="NonStk",J18&gt;I18))</formula>
    </cfRule>
  </conditionalFormatting>
  <conditionalFormatting sqref="J19">
    <cfRule type="expression" dxfId="1" priority="20">
      <formula>AND(NOT(ISBLANK(J19)),OR(I19="NonStk",J19&gt;I19))</formula>
    </cfRule>
  </conditionalFormatting>
  <conditionalFormatting sqref="J20">
    <cfRule type="expression" dxfId="1" priority="22">
      <formula>AND(NOT(ISBLANK(J20)),OR(I20="NonStk",J20&gt;I20))</formula>
    </cfRule>
  </conditionalFormatting>
  <conditionalFormatting sqref="J21">
    <cfRule type="expression" dxfId="1" priority="24">
      <formula>AND(NOT(ISBLANK(J21)),OR(I21="NonStk",J21&gt;I21))</formula>
    </cfRule>
  </conditionalFormatting>
  <conditionalFormatting sqref="J22">
    <cfRule type="expression" dxfId="1" priority="26">
      <formula>AND(NOT(ISBLANK(J22)),OR(I22="NonStk",J22&gt;I22))</formula>
    </cfRule>
  </conditionalFormatting>
  <conditionalFormatting sqref="J23">
    <cfRule type="expression" dxfId="1" priority="28">
      <formula>AND(NOT(ISBLANK(J23)),OR(I23="NonStk",J23&gt;I23))</formula>
    </cfRule>
  </conditionalFormatting>
  <conditionalFormatting sqref="J24">
    <cfRule type="expression" dxfId="1" priority="30">
      <formula>AND(NOT(ISBLANK(J24)),OR(I24="NonStk",J24&gt;I24))</formula>
    </cfRule>
  </conditionalFormatting>
  <conditionalFormatting sqref="J25">
    <cfRule type="expression" dxfId="1" priority="32">
      <formula>AND(NOT(ISBLANK(J25)),OR(I25="NonStk",J25&gt;I25))</formula>
    </cfRule>
  </conditionalFormatting>
  <conditionalFormatting sqref="J26">
    <cfRule type="expression" dxfId="1" priority="34">
      <formula>AND(NOT(ISBLANK(J26)),OR(I26="NonStk",J26&gt;I26))</formula>
    </cfRule>
  </conditionalFormatting>
  <conditionalFormatting sqref="J27">
    <cfRule type="expression" dxfId="1" priority="36">
      <formula>AND(NOT(ISBLANK(J27)),OR(I27="NonStk",J27&gt;I27))</formula>
    </cfRule>
  </conditionalFormatting>
  <conditionalFormatting sqref="J28">
    <cfRule type="expression" dxfId="1" priority="38">
      <formula>AND(NOT(ISBLANK(J28)),OR(I28="NonStk",J28&gt;I28))</formula>
    </cfRule>
  </conditionalFormatting>
  <conditionalFormatting sqref="J29">
    <cfRule type="expression" dxfId="1" priority="40">
      <formula>AND(NOT(ISBLANK(J29)),OR(I29="NonStk",J29&gt;I29))</formula>
    </cfRule>
  </conditionalFormatting>
  <conditionalFormatting sqref="J30">
    <cfRule type="expression" dxfId="1" priority="42">
      <formula>AND(NOT(ISBLANK(J30)),OR(I30="NonStk",J30&gt;I30))</formula>
    </cfRule>
  </conditionalFormatting>
  <conditionalFormatting sqref="J31">
    <cfRule type="expression" dxfId="1" priority="44">
      <formula>AND(NOT(ISBLANK(J31)),OR(I31="NonStk",J31&gt;I31))</formula>
    </cfRule>
  </conditionalFormatting>
  <conditionalFormatting sqref="J32">
    <cfRule type="expression" dxfId="1" priority="46">
      <formula>AND(NOT(ISBLANK(J32)),OR(I32="NonStk",J32&gt;I32))</formula>
    </cfRule>
  </conditionalFormatting>
  <conditionalFormatting sqref="J33">
    <cfRule type="expression" dxfId="1" priority="48">
      <formula>AND(NOT(ISBLANK(J33)),OR(I33="NonStk",J33&gt;I33))</formula>
    </cfRule>
  </conditionalFormatting>
  <conditionalFormatting sqref="J34">
    <cfRule type="expression" dxfId="1" priority="50">
      <formula>AND(NOT(ISBLANK(J34)),OR(I34="NonStk",J34&gt;I34))</formula>
    </cfRule>
  </conditionalFormatting>
  <conditionalFormatting sqref="J35">
    <cfRule type="expression" dxfId="1" priority="52">
      <formula>AND(NOT(ISBLANK(J35)),OR(I35="NonStk",J35&gt;I35))</formula>
    </cfRule>
  </conditionalFormatting>
  <conditionalFormatting sqref="J36">
    <cfRule type="expression" dxfId="1" priority="54">
      <formula>AND(NOT(ISBLANK(J36)),OR(I36="NonStk",J36&gt;I36))</formula>
    </cfRule>
  </conditionalFormatting>
  <conditionalFormatting sqref="J37">
    <cfRule type="expression" dxfId="1" priority="56">
      <formula>AND(NOT(ISBLANK(J37)),OR(I37="NonStk",J37&gt;I37))</formula>
    </cfRule>
  </conditionalFormatting>
  <conditionalFormatting sqref="J38">
    <cfRule type="expression" dxfId="1" priority="58">
      <formula>AND(NOT(ISBLANK(J38)),OR(I38="NonStk",J38&gt;I38))</formula>
    </cfRule>
  </conditionalFormatting>
  <conditionalFormatting sqref="J39">
    <cfRule type="expression" dxfId="1" priority="60">
      <formula>AND(NOT(ISBLANK(J39)),OR(I39="NonStk",J39&gt;I39))</formula>
    </cfRule>
  </conditionalFormatting>
  <hyperlinks>
    <hyperlink ref="E10" r:id="rId1"/>
    <hyperlink ref="N10" r:id="rId2"/>
    <hyperlink ref="E11" r:id="rId3"/>
    <hyperlink ref="N11" r:id="rId4"/>
    <hyperlink ref="E12" r:id="rId5"/>
    <hyperlink ref="N12" r:id="rId6"/>
    <hyperlink ref="E13" r:id="rId7"/>
    <hyperlink ref="N13" r:id="rId8"/>
    <hyperlink ref="E14" r:id="rId9"/>
    <hyperlink ref="N14" r:id="rId10"/>
    <hyperlink ref="E15" r:id="rId11"/>
    <hyperlink ref="N15" r:id="rId12"/>
    <hyperlink ref="E16" r:id="rId13"/>
    <hyperlink ref="N16" r:id="rId14"/>
    <hyperlink ref="E17" r:id="rId15"/>
    <hyperlink ref="N17" r:id="rId16"/>
    <hyperlink ref="E18" r:id="rId17"/>
    <hyperlink ref="N18" r:id="rId18"/>
    <hyperlink ref="E19" r:id="rId19"/>
    <hyperlink ref="N19" r:id="rId20"/>
    <hyperlink ref="E20" r:id="rId21"/>
    <hyperlink ref="N20" r:id="rId22"/>
    <hyperlink ref="E21" r:id="rId23"/>
    <hyperlink ref="N21" r:id="rId24"/>
    <hyperlink ref="E22" r:id="rId25"/>
    <hyperlink ref="N22" r:id="rId26"/>
    <hyperlink ref="E23" r:id="rId27"/>
    <hyperlink ref="N23" r:id="rId28"/>
    <hyperlink ref="E24" r:id="rId29"/>
    <hyperlink ref="N24" r:id="rId30"/>
    <hyperlink ref="E25" r:id="rId31"/>
    <hyperlink ref="N25" r:id="rId32"/>
    <hyperlink ref="E26" r:id="rId33"/>
    <hyperlink ref="N26" r:id="rId34"/>
    <hyperlink ref="E27" r:id="rId35"/>
    <hyperlink ref="N27" r:id="rId36"/>
    <hyperlink ref="E28" r:id="rId37"/>
    <hyperlink ref="N28" r:id="rId38"/>
    <hyperlink ref="N29" r:id="rId39"/>
    <hyperlink ref="N30" r:id="rId40"/>
    <hyperlink ref="N31" r:id="rId41"/>
    <hyperlink ref="N32" r:id="rId42"/>
    <hyperlink ref="N33" r:id="rId43"/>
    <hyperlink ref="E34" r:id="rId44"/>
    <hyperlink ref="N34" r:id="rId45"/>
    <hyperlink ref="E35" r:id="rId46"/>
    <hyperlink ref="N35" r:id="rId47"/>
    <hyperlink ref="E36" r:id="rId48"/>
    <hyperlink ref="N36" r:id="rId49"/>
    <hyperlink ref="E37" r:id="rId50"/>
    <hyperlink ref="N37" r:id="rId51"/>
    <hyperlink ref="E38" r:id="rId52"/>
    <hyperlink ref="N38" r:id="rId53"/>
    <hyperlink ref="E39" r:id="rId54"/>
    <hyperlink ref="N39" r:id="rId55"/>
    <hyperlink ref="I41" r:id="rId56"/>
  </hyperlinks>
  <pageMargins left="0.7" right="0.7" top="0.75" bottom="0.75" header="0.3" footer="0.3"/>
  <legacyDrawing r:id="rId5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16.7109375" customWidth="1"/>
    <col min="2" max="2" width="25.7109375" customWidth="1"/>
    <col min="3" max="3" width="32.7109375" customWidth="1" outlineLevel="2"/>
    <col min="4" max="4" width="9.140625" outlineLevel="1"/>
    <col min="5" max="5" width="17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</cols>
  <sheetData>
    <row r="1" spans="1:13" ht="32" customHeight="1">
      <c r="A1" s="1" t="s">
        <v>196</v>
      </c>
      <c r="B1" s="1"/>
      <c r="C1" s="1"/>
      <c r="D1" s="1"/>
      <c r="E1" s="1"/>
      <c r="F1" s="1"/>
      <c r="G1" s="1"/>
    </row>
    <row r="2" spans="1:13">
      <c r="A2" s="2" t="s">
        <v>197</v>
      </c>
      <c r="B2" s="3" t="s">
        <v>198</v>
      </c>
      <c r="F2" s="13" t="s">
        <v>267</v>
      </c>
      <c r="G2" s="13">
        <v>1</v>
      </c>
    </row>
    <row r="3" spans="1:13">
      <c r="A3" s="2" t="s">
        <v>199</v>
      </c>
      <c r="B3" s="3" t="s">
        <v>200</v>
      </c>
      <c r="F3" s="14" t="s">
        <v>269</v>
      </c>
      <c r="G3" s="15">
        <f>TotalCost/BoardQty</f>
        <v>0.0</v>
      </c>
    </row>
    <row r="4" spans="1:13">
      <c r="A4" s="2" t="s">
        <v>201</v>
      </c>
      <c r="B4" s="3" t="s">
        <v>66</v>
      </c>
      <c r="F4" s="14" t="s">
        <v>268</v>
      </c>
      <c r="G4" s="16">
        <f>SUM(G10:G12)</f>
        <v>0</v>
      </c>
      <c r="L4" s="16">
        <f>SUM(L10:L12)</f>
        <v>0</v>
      </c>
      <c r="M4" s="17" t="str">
        <f>(COUNTA(L10:L12)&amp;" of "&amp;ROWS(L10:L12)&amp;" parts found")</f>
        <v>0 of 3 parts found</v>
      </c>
    </row>
    <row r="5" spans="1:13">
      <c r="A5" s="2" t="s">
        <v>202</v>
      </c>
      <c r="B5" s="3" t="s">
        <v>203</v>
      </c>
    </row>
    <row r="6" spans="1:13">
      <c r="A6" s="2" t="s">
        <v>204</v>
      </c>
      <c r="B6" s="3" t="s">
        <v>205</v>
      </c>
    </row>
    <row r="8" spans="1:13">
      <c r="A8" s="18" t="s">
        <v>222</v>
      </c>
      <c r="B8" s="18"/>
      <c r="C8" s="18"/>
      <c r="D8" s="18"/>
      <c r="E8" s="18"/>
      <c r="F8" s="18"/>
      <c r="G8" s="18"/>
      <c r="H8" s="19" t="s">
        <v>228</v>
      </c>
      <c r="I8" s="19"/>
      <c r="J8" s="19"/>
      <c r="K8" s="19"/>
      <c r="L8" s="19"/>
      <c r="M8" s="19"/>
    </row>
    <row r="9" spans="1:13">
      <c r="A9" s="20" t="s">
        <v>2</v>
      </c>
      <c r="B9" s="20" t="s">
        <v>3</v>
      </c>
      <c r="C9" s="20" t="s">
        <v>5</v>
      </c>
      <c r="D9" s="20" t="s">
        <v>224</v>
      </c>
      <c r="E9" s="20" t="s">
        <v>225</v>
      </c>
      <c r="F9" s="20" t="s">
        <v>226</v>
      </c>
      <c r="G9" s="20" t="s">
        <v>227</v>
      </c>
      <c r="H9" s="20" t="s">
        <v>229</v>
      </c>
      <c r="I9" s="20" t="s">
        <v>230</v>
      </c>
      <c r="J9" s="20" t="s">
        <v>226</v>
      </c>
      <c r="K9" s="20" t="s">
        <v>231</v>
      </c>
      <c r="L9" s="20" t="s">
        <v>227</v>
      </c>
      <c r="M9" s="20" t="s">
        <v>232</v>
      </c>
    </row>
    <row r="10" spans="1:13">
      <c r="A10" s="21" t="s">
        <v>213</v>
      </c>
      <c r="B10" s="21" t="s">
        <v>214</v>
      </c>
      <c r="C10" s="21" t="s">
        <v>215</v>
      </c>
      <c r="E10" s="21">
        <f>BoardQty*1</f>
        <v>1</v>
      </c>
      <c r="F10" s="22">
        <f>IF(MIN(J10)&lt;&gt;0,MIN(J10),"")</f>
        <v/>
      </c>
      <c r="G10" s="23">
        <f>IF(AND(ISNUMBER(E10),ISNUMBER(F10)),E10*F10,"")</f>
        <v/>
      </c>
    </row>
    <row r="11" spans="1:13">
      <c r="A11" s="21" t="s">
        <v>217</v>
      </c>
      <c r="B11" s="21" t="s">
        <v>218</v>
      </c>
      <c r="C11" s="21" t="s">
        <v>219</v>
      </c>
      <c r="E11" s="21">
        <f>BoardQty*1</f>
        <v>1</v>
      </c>
      <c r="F11" s="22">
        <f>IF(MIN(J11)&lt;&gt;0,MIN(J11),"")</f>
        <v/>
      </c>
      <c r="G11" s="23">
        <f>IF(AND(ISNUMBER(E11),ISNUMBER(F11)),E11*F11,"")</f>
        <v/>
      </c>
    </row>
    <row r="12" spans="1:13">
      <c r="A12" s="21" t="s">
        <v>221</v>
      </c>
      <c r="B12" s="21" t="s">
        <v>131</v>
      </c>
      <c r="C12" s="21" t="s">
        <v>139</v>
      </c>
      <c r="E12" s="21">
        <f>BoardQty*1</f>
        <v>1</v>
      </c>
      <c r="F12" s="22">
        <f>IF(MIN(J12)&lt;&gt;0,MIN(J12),"")</f>
        <v/>
      </c>
      <c r="G12" s="23">
        <f>IF(AND(ISNUMBER(E12),ISNUMBER(F12)),E12*F12,"")</f>
        <v/>
      </c>
    </row>
    <row r="14" spans="1:13">
      <c r="F14" s="14" t="s">
        <v>264</v>
      </c>
      <c r="G14" s="16">
        <f>SUM(L14)</f>
        <v>0</v>
      </c>
      <c r="H14" s="26" t="s">
        <v>263</v>
      </c>
      <c r="I14" s="17">
        <f>IFERROR(IF(COUNTIF(I10:I12,"&gt;0")&gt;0,COUNTIF(I10:I12,"&gt;0")&amp;" of "&amp;(ROWS(K10:K12)-COUNTBLANK(K10:K12))&amp;" parts purchased",""),"")</f>
        <v/>
      </c>
      <c r="L14" s="16">
        <f>SUMIF(I10:I12,"&gt;0",L10:L12)</f>
        <v>0</v>
      </c>
    </row>
    <row r="15" spans="1:13">
      <c r="A15" s="28" t="s">
        <v>270</v>
      </c>
      <c r="B15" s="29" t="s">
        <v>271</v>
      </c>
      <c r="F15" s="25" t="s">
        <v>265</v>
      </c>
      <c r="I15" s="27">
        <f>CONCATENATE(I19,I20,I21)</f>
        <v/>
      </c>
    </row>
    <row r="16" spans="1:13">
      <c r="A16" s="30" t="s">
        <v>272</v>
      </c>
    </row>
    <row r="19" spans="9:9" ht="30" hidden="1" customHeight="1">
      <c r="I19" t="str">
        <f t="array" ref="I19:I21">IF(ISNUMBER(I10:I12)*(I10:I12&gt;=K10:K12)*(M10:M12&lt;&gt;""),M10:M12&amp;"|"&amp;TEXT(ROUNDUP(I10:I12/IF(ISNUMBER(K10:K12),K10:K12,1),0)*K10:K12,"##0")&amp;"|"&amp;SUBSTITUTE(SUBSTITUTE(SUBSTITUTE(IF(PURCHASE_DESCRIPTION&lt;&gt;"",PURCHASE_DESCRIPTION&amp;":","")&amp;A10:A12,"|",";")," ","_"),"
","_")&amp;CHAR(10),"")</f>
        <v/>
      </c>
    </row>
    <row r="20" spans="9:9" ht="30" hidden="1" customHeight="1">
      <c r="I20">
        <v>0</v>
      </c>
    </row>
    <row r="21" spans="9:9" ht="30" hidden="1" customHeight="1">
      <c r="I21">
        <v>0</v>
      </c>
    </row>
  </sheetData>
  <mergeCells count="4">
    <mergeCell ref="A8:G8"/>
    <mergeCell ref="H8:M8"/>
    <mergeCell ref="I15:L18"/>
    <mergeCell ref="A1:G1"/>
  </mergeCells>
  <conditionalFormatting sqref="E10">
    <cfRule type="expression" dxfId="2" priority="1">
      <formula>AND(ISBLANK(D10),ISBLANK(L10))</formula>
    </cfRule>
    <cfRule type="expression" dxfId="3" priority="2">
      <formula>IF(SUM(H10)=0,1,0)</formula>
    </cfRule>
    <cfRule type="cellIs" dxfId="0" priority="3" operator="greaterThan">
      <formula>SUM(H10)</formula>
    </cfRule>
    <cfRule type="cellIs" dxfId="4" priority="4" operator="greaterThan">
      <formula>SUM(IF(ISNUMBER(J10),I10,0))</formula>
    </cfRule>
  </conditionalFormatting>
  <conditionalFormatting sqref="E11">
    <cfRule type="expression" dxfId="2" priority="5">
      <formula>AND(ISBLANK(D11),ISBLANK(L11))</formula>
    </cfRule>
    <cfRule type="expression" dxfId="3" priority="6">
      <formula>IF(SUM(H11)=0,1,0)</formula>
    </cfRule>
    <cfRule type="cellIs" dxfId="0" priority="7" operator="greaterThan">
      <formula>SUM(H11)</formula>
    </cfRule>
    <cfRule type="cellIs" dxfId="4" priority="8" operator="greaterThan">
      <formula>SUM(IF(ISNUMBER(J11),I11,0))</formula>
    </cfRule>
  </conditionalFormatting>
  <conditionalFormatting sqref="E12">
    <cfRule type="expression" dxfId="2" priority="9">
      <formula>AND(ISBLANK(D12),ISBLANK(L12))</formula>
    </cfRule>
    <cfRule type="expression" dxfId="3" priority="10">
      <formula>IF(SUM(H12)=0,1,0)</formula>
    </cfRule>
    <cfRule type="cellIs" dxfId="0" priority="11" operator="greaterThan">
      <formula>SUM(H12)</formula>
    </cfRule>
    <cfRule type="cellIs" dxfId="4" priority="12" operator="greaterThan">
      <formula>SUM(IF(ISNUMBER(J12),I12,0))</formula>
    </cfRule>
  </conditionalFormatting>
  <hyperlinks>
    <hyperlink ref="H14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273</v>
      </c>
    </row>
    <row r="2" spans="1:1">
      <c r="A2" s="6" t="s">
        <v>274</v>
      </c>
    </row>
    <row r="3" spans="1:1">
      <c r="A3" s="5" t="s">
        <v>275</v>
      </c>
    </row>
    <row r="4" spans="1:1">
      <c r="A4" s="7" t="s">
        <v>276</v>
      </c>
    </row>
    <row r="5" spans="1:1">
      <c r="A5" s="12" t="s">
        <v>277</v>
      </c>
    </row>
    <row r="7" spans="1:1">
      <c r="A7" t="s">
        <v>278</v>
      </c>
    </row>
    <row r="8" spans="1:1">
      <c r="A8" s="31" t="s">
        <v>279</v>
      </c>
    </row>
    <row r="9" spans="1:1">
      <c r="A9" s="32" t="s">
        <v>280</v>
      </c>
    </row>
    <row r="10" spans="1:1">
      <c r="A10" s="33" t="s">
        <v>281</v>
      </c>
    </row>
    <row r="11" spans="1:1">
      <c r="A11" s="34" t="s">
        <v>282</v>
      </c>
    </row>
    <row r="12" spans="1:1">
      <c r="A12" s="35" t="s">
        <v>283</v>
      </c>
    </row>
    <row r="13" spans="1:1">
      <c r="A13" s="36" t="s">
        <v>284</v>
      </c>
    </row>
    <row r="14" spans="1:1">
      <c r="A14" s="37" t="s">
        <v>285</v>
      </c>
    </row>
    <row r="15" spans="1:1">
      <c r="A15" s="38" t="s">
        <v>286</v>
      </c>
    </row>
    <row r="16" spans="1:1">
      <c r="A16" s="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(DNF)'!PURCHASE_DESCRIPTION</vt:lpstr>
      <vt:lpstr>'Costs'!PURCHASE_DESCRIPTION</vt:lpstr>
      <vt:lpstr>'Costs (DNF)'!TotalCost</vt:lpstr>
      <vt:lpstr>'Costs'!TotalCost</vt:lpstr>
      <vt:lpstr>'Costs'!USD_EUR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2025-09-06T09:58:44Z</dcterms:created>
  <dcterms:modified xsi:type="dcterms:W3CDTF">2025-09-06T09:58:44Z</dcterms:modified>
</cp:coreProperties>
</file>