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ata\"/>
    </mc:Choice>
  </mc:AlternateContent>
  <bookViews>
    <workbookView xWindow="0" yWindow="0" windowWidth="25200" windowHeight="12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1" l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B36" i="1"/>
  <c r="B37" i="1"/>
  <c r="B38" i="1"/>
  <c r="B35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B23" i="1"/>
  <c r="B24" i="1"/>
  <c r="B25" i="1"/>
  <c r="B22" i="1"/>
  <c r="U19" i="1"/>
  <c r="T19" i="1"/>
  <c r="S19" i="1"/>
  <c r="R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U18" i="1"/>
  <c r="T18" i="1"/>
  <c r="S18" i="1"/>
  <c r="R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B11" i="1"/>
  <c r="B12" i="1"/>
  <c r="B13" i="1"/>
  <c r="B10" i="1"/>
  <c r="J7" i="1"/>
  <c r="J6" i="1"/>
  <c r="J5" i="1"/>
  <c r="J4" i="1"/>
  <c r="I7" i="1"/>
  <c r="I6" i="1"/>
  <c r="I5" i="1"/>
  <c r="I4" i="1"/>
  <c r="H7" i="1"/>
  <c r="H6" i="1"/>
  <c r="H5" i="1"/>
  <c r="H4" i="1"/>
  <c r="G7" i="1"/>
  <c r="G6" i="1"/>
  <c r="G5" i="1"/>
  <c r="G4" i="1"/>
  <c r="F4" i="1"/>
  <c r="E4" i="1"/>
  <c r="D4" i="1"/>
  <c r="C7" i="1"/>
  <c r="C6" i="1"/>
  <c r="C5" i="1"/>
  <c r="C4" i="1"/>
  <c r="B7" i="1"/>
  <c r="B6" i="1"/>
  <c r="B5" i="1"/>
  <c r="D5" i="1"/>
  <c r="E5" i="1"/>
  <c r="F5" i="1"/>
  <c r="D6" i="1"/>
  <c r="E6" i="1"/>
  <c r="F6" i="1"/>
  <c r="D7" i="1"/>
  <c r="E7" i="1"/>
  <c r="F7" i="1"/>
  <c r="B4" i="1"/>
  <c r="T7" i="1"/>
  <c r="U7" i="1"/>
  <c r="S7" i="1"/>
  <c r="R7" i="1"/>
  <c r="Q7" i="1"/>
  <c r="P7" i="1"/>
  <c r="O7" i="1"/>
  <c r="N7" i="1"/>
  <c r="M7" i="1"/>
  <c r="L7" i="1"/>
  <c r="K7" i="1"/>
  <c r="K4" i="1"/>
  <c r="L4" i="1"/>
  <c r="M4" i="1"/>
  <c r="N4" i="1"/>
  <c r="O4" i="1"/>
  <c r="P4" i="1"/>
  <c r="Q4" i="1"/>
  <c r="R4" i="1"/>
  <c r="S4" i="1"/>
  <c r="T4" i="1"/>
  <c r="U4" i="1"/>
  <c r="K5" i="1"/>
  <c r="L5" i="1"/>
  <c r="M5" i="1"/>
  <c r="N5" i="1"/>
  <c r="O5" i="1"/>
  <c r="P5" i="1"/>
  <c r="Q5" i="1"/>
  <c r="R5" i="1"/>
  <c r="S5" i="1"/>
  <c r="T5" i="1"/>
  <c r="U5" i="1"/>
  <c r="K6" i="1"/>
  <c r="L6" i="1"/>
  <c r="M6" i="1"/>
  <c r="N6" i="1"/>
  <c r="O6" i="1"/>
  <c r="P6" i="1"/>
  <c r="Q6" i="1"/>
  <c r="R6" i="1"/>
  <c r="S6" i="1"/>
  <c r="T6" i="1"/>
  <c r="U6" i="1"/>
</calcChain>
</file>

<file path=xl/sharedStrings.xml><?xml version="1.0" encoding="utf-8"?>
<sst xmlns="http://schemas.openxmlformats.org/spreadsheetml/2006/main" count="30" uniqueCount="10">
  <si>
    <t xml:space="preserve">culture growth curves. </t>
  </si>
  <si>
    <t>B10</t>
  </si>
  <si>
    <t>C3</t>
  </si>
  <si>
    <t>G2</t>
  </si>
  <si>
    <t>G3</t>
  </si>
  <si>
    <t>10^4</t>
  </si>
  <si>
    <t>10^3</t>
  </si>
  <si>
    <t>10^5</t>
  </si>
  <si>
    <t>Red=WT</t>
  </si>
  <si>
    <t>Black-tlc1d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</si>
</sst>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</a:t>
            </a:r>
            <a:r>
              <a:rPr lang="en-US" baseline="30000"/>
              <a:t>3 </a:t>
            </a:r>
            <a:r>
              <a:rPr lang="en-US" baseline="0"/>
              <a:t>Lag Time Growth Curve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B10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Sheet1!$B$9:$U$9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</c:numCache>
            </c:numRef>
          </c:cat>
          <c:val>
            <c:numRef>
              <c:f>Sheet1!$B$10:$U$10</c:f>
              <c:numCache>
                <c:formatCode>General</c:formatCode>
                <c:ptCount val="20"/>
                <c:pt idx="0">
                  <c:v>2777.7777777777778</c:v>
                </c:pt>
                <c:pt idx="1">
                  <c:v>3645.8333333333335</c:v>
                </c:pt>
                <c:pt idx="2">
                  <c:v>4687.5000000000009</c:v>
                </c:pt>
                <c:pt idx="3">
                  <c:v>6076.3888888888887</c:v>
                </c:pt>
                <c:pt idx="4">
                  <c:v>11904.761904761905</c:v>
                </c:pt>
                <c:pt idx="5">
                  <c:v>15476.190476190477</c:v>
                </c:pt>
                <c:pt idx="6">
                  <c:v>25000</c:v>
                </c:pt>
                <c:pt idx="7">
                  <c:v>26190.476190476191</c:v>
                </c:pt>
                <c:pt idx="8">
                  <c:v>38095.238095238099</c:v>
                </c:pt>
                <c:pt idx="9">
                  <c:v>125000</c:v>
                </c:pt>
                <c:pt idx="10">
                  <c:v>175000</c:v>
                </c:pt>
                <c:pt idx="11">
                  <c:v>312500</c:v>
                </c:pt>
                <c:pt idx="12">
                  <c:v>437500</c:v>
                </c:pt>
                <c:pt idx="13">
                  <c:v>537500</c:v>
                </c:pt>
                <c:pt idx="14">
                  <c:v>600000</c:v>
                </c:pt>
                <c:pt idx="15">
                  <c:v>687500</c:v>
                </c:pt>
                <c:pt idx="16">
                  <c:v>1137500</c:v>
                </c:pt>
                <c:pt idx="17">
                  <c:v>1550000</c:v>
                </c:pt>
                <c:pt idx="18">
                  <c:v>2025000</c:v>
                </c:pt>
                <c:pt idx="19">
                  <c:v>2425000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BE-4B69-9E38-E6DA1F026F5E}"/>
            </c:ext>
          </c:extLst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C3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Sheet1!$B$9:$U$9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</c:numCache>
            </c:numRef>
          </c:cat>
          <c:val>
            <c:numRef>
              <c:f>Sheet1!$B$11:$U$11</c:f>
              <c:numCache>
                <c:formatCode>General</c:formatCode>
                <c:ptCount val="20"/>
                <c:pt idx="0">
                  <c:v>3298.6111111111113</c:v>
                </c:pt>
                <c:pt idx="1">
                  <c:v>3993.0555555555561</c:v>
                </c:pt>
                <c:pt idx="2">
                  <c:v>55555.555555555555</c:v>
                </c:pt>
                <c:pt idx="3">
                  <c:v>83333.333333333328</c:v>
                </c:pt>
                <c:pt idx="4">
                  <c:v>113095.23809523809</c:v>
                </c:pt>
                <c:pt idx="5">
                  <c:v>12500</c:v>
                </c:pt>
                <c:pt idx="6">
                  <c:v>30952.380952380954</c:v>
                </c:pt>
                <c:pt idx="7">
                  <c:v>39285.71428571429</c:v>
                </c:pt>
                <c:pt idx="8">
                  <c:v>39880.952380952382</c:v>
                </c:pt>
                <c:pt idx="9">
                  <c:v>87500</c:v>
                </c:pt>
                <c:pt idx="10">
                  <c:v>137500</c:v>
                </c:pt>
                <c:pt idx="11">
                  <c:v>237500</c:v>
                </c:pt>
                <c:pt idx="12">
                  <c:v>387500</c:v>
                </c:pt>
                <c:pt idx="13">
                  <c:v>437500</c:v>
                </c:pt>
                <c:pt idx="14">
                  <c:v>500000</c:v>
                </c:pt>
                <c:pt idx="15">
                  <c:v>812500</c:v>
                </c:pt>
                <c:pt idx="16">
                  <c:v>950000</c:v>
                </c:pt>
                <c:pt idx="17">
                  <c:v>1250000</c:v>
                </c:pt>
                <c:pt idx="18">
                  <c:v>1500000</c:v>
                </c:pt>
                <c:pt idx="19">
                  <c:v>2300000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BE-4B69-9E38-E6DA1F026F5E}"/>
            </c:ext>
          </c:extLst>
        </c:ser>
        <c:ser>
          <c:idx val="2"/>
          <c:order val="2"/>
          <c:tx>
            <c:strRef>
              <c:f>Sheet1!$A$12</c:f>
              <c:strCache>
                <c:ptCount val="1"/>
                <c:pt idx="0">
                  <c:v>G2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Sheet1!$B$9:$U$9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</c:numCache>
            </c:numRef>
          </c:cat>
          <c:val>
            <c:numRef>
              <c:f>Sheet1!$B$12:$U$12</c:f>
              <c:numCache>
                <c:formatCode>General</c:formatCode>
                <c:ptCount val="20"/>
                <c:pt idx="0">
                  <c:v>1909.7222222222224</c:v>
                </c:pt>
                <c:pt idx="1">
                  <c:v>3819.4444444444448</c:v>
                </c:pt>
                <c:pt idx="2">
                  <c:v>48611.111111111109</c:v>
                </c:pt>
                <c:pt idx="3">
                  <c:v>60763.888888888891</c:v>
                </c:pt>
                <c:pt idx="4">
                  <c:v>130952.38095238096</c:v>
                </c:pt>
                <c:pt idx="5">
                  <c:v>13690.476190476193</c:v>
                </c:pt>
                <c:pt idx="6">
                  <c:v>29761.90476190476</c:v>
                </c:pt>
                <c:pt idx="7">
                  <c:v>34523.809523809527</c:v>
                </c:pt>
                <c:pt idx="8">
                  <c:v>70238.095238095237</c:v>
                </c:pt>
                <c:pt idx="9">
                  <c:v>237500</c:v>
                </c:pt>
                <c:pt idx="10">
                  <c:v>487500</c:v>
                </c:pt>
                <c:pt idx="11">
                  <c:v>1150000</c:v>
                </c:pt>
                <c:pt idx="12">
                  <c:v>3250000</c:v>
                </c:pt>
                <c:pt idx="13">
                  <c:v>4150000.0000000005</c:v>
                </c:pt>
                <c:pt idx="14">
                  <c:v>6600000</c:v>
                </c:pt>
                <c:pt idx="15">
                  <c:v>11125000</c:v>
                </c:pt>
                <c:pt idx="16">
                  <c:v>14750000</c:v>
                </c:pt>
                <c:pt idx="17">
                  <c:v>15500000</c:v>
                </c:pt>
                <c:pt idx="18">
                  <c:v>18750000</c:v>
                </c:pt>
                <c:pt idx="19">
                  <c:v>21750000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BE-4B69-9E38-E6DA1F026F5E}"/>
            </c:ext>
          </c:extLst>
        </c:ser>
        <c:ser>
          <c:idx val="3"/>
          <c:order val="3"/>
          <c:tx>
            <c:strRef>
              <c:f>Sheet1!$A$13</c:f>
              <c:strCache>
                <c:ptCount val="1"/>
                <c:pt idx="0">
                  <c:v>G3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Sheet1!$B$9:$U$9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</c:numCache>
            </c:numRef>
          </c:cat>
          <c:val>
            <c:numRef>
              <c:f>Sheet1!$B$13:$U$13</c:f>
              <c:numCache>
                <c:formatCode>General</c:formatCode>
                <c:ptCount val="20"/>
                <c:pt idx="0">
                  <c:v>2430.5555555555557</c:v>
                </c:pt>
                <c:pt idx="1">
                  <c:v>2604.1666666666665</c:v>
                </c:pt>
                <c:pt idx="2">
                  <c:v>57291.666666666664</c:v>
                </c:pt>
                <c:pt idx="3">
                  <c:v>59027.777777777774</c:v>
                </c:pt>
                <c:pt idx="4">
                  <c:v>142857.14285714284</c:v>
                </c:pt>
                <c:pt idx="5">
                  <c:v>14285.714285714286</c:v>
                </c:pt>
                <c:pt idx="6">
                  <c:v>19047.61904761905</c:v>
                </c:pt>
                <c:pt idx="7">
                  <c:v>44047.619047619053</c:v>
                </c:pt>
                <c:pt idx="8">
                  <c:v>89285.71428571429</c:v>
                </c:pt>
                <c:pt idx="9">
                  <c:v>212500</c:v>
                </c:pt>
                <c:pt idx="10">
                  <c:v>375000</c:v>
                </c:pt>
                <c:pt idx="11">
                  <c:v>762500</c:v>
                </c:pt>
                <c:pt idx="12">
                  <c:v>2049999.9999999998</c:v>
                </c:pt>
                <c:pt idx="13">
                  <c:v>2950000</c:v>
                </c:pt>
                <c:pt idx="14">
                  <c:v>4550000</c:v>
                </c:pt>
                <c:pt idx="15">
                  <c:v>8500000</c:v>
                </c:pt>
                <c:pt idx="16">
                  <c:v>16500000</c:v>
                </c:pt>
                <c:pt idx="17">
                  <c:v>22750000</c:v>
                </c:pt>
                <c:pt idx="18">
                  <c:v>23083333.333333332</c:v>
                </c:pt>
                <c:pt idx="19">
                  <c:v>24000000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BE-4B69-9E38-E6DA1F026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231152"/>
        <c:axId val="349230736"/>
      </c:lineChart>
      <c:catAx>
        <c:axId val="34923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  <a:r>
                  <a:rPr lang="en-US" baseline="0"/>
                  <a:t> after Inocculation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230736"/>
        <c:crosses val="autoZero"/>
        <c:auto val="1"/>
        <c:lblAlgn val="ctr"/>
        <c:lblOffset val="100"/>
        <c:noMultiLvlLbl val="0"/>
      </c:catAx>
      <c:valAx>
        <c:axId val="349230736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</a:t>
                </a:r>
                <a:r>
                  <a:rPr lang="en-US" baseline="0"/>
                  <a:t> density per mL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23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</a:t>
            </a:r>
            <a:r>
              <a:rPr lang="en-US" baseline="30000"/>
              <a:t>4</a:t>
            </a:r>
            <a:r>
              <a:rPr lang="en-US" baseline="0"/>
              <a:t> Lag time Growth Curve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Sheet1!$A$22</c:f>
              <c:strCache>
                <c:ptCount val="1"/>
                <c:pt idx="0">
                  <c:v>B10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Sheet1!$B$21:$U$21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</c:numCache>
            </c:numRef>
          </c:cat>
          <c:val>
            <c:numRef>
              <c:f>Sheet1!$B$22:$U$22</c:f>
              <c:numCache>
                <c:formatCode>General</c:formatCode>
                <c:ptCount val="20"/>
                <c:pt idx="0">
                  <c:v>29513.888888888887</c:v>
                </c:pt>
                <c:pt idx="1">
                  <c:v>39930.555555555555</c:v>
                </c:pt>
                <c:pt idx="2">
                  <c:v>55555.555555555555</c:v>
                </c:pt>
                <c:pt idx="3">
                  <c:v>62500</c:v>
                </c:pt>
                <c:pt idx="4">
                  <c:v>88541.666666666672</c:v>
                </c:pt>
                <c:pt idx="5">
                  <c:v>157986.11111111109</c:v>
                </c:pt>
                <c:pt idx="6">
                  <c:v>161458.33333333334</c:v>
                </c:pt>
                <c:pt idx="7">
                  <c:v>74652.777777777781</c:v>
                </c:pt>
                <c:pt idx="8">
                  <c:v>487500</c:v>
                </c:pt>
                <c:pt idx="9">
                  <c:v>925000</c:v>
                </c:pt>
                <c:pt idx="10">
                  <c:v>140625</c:v>
                </c:pt>
                <c:pt idx="11">
                  <c:v>1825000</c:v>
                </c:pt>
                <c:pt idx="12">
                  <c:v>2800000</c:v>
                </c:pt>
                <c:pt idx="13">
                  <c:v>3250000</c:v>
                </c:pt>
                <c:pt idx="14">
                  <c:v>4800000</c:v>
                </c:pt>
                <c:pt idx="15">
                  <c:v>5300000</c:v>
                </c:pt>
                <c:pt idx="16">
                  <c:v>8750000</c:v>
                </c:pt>
                <c:pt idx="17">
                  <c:v>10083333.333333334</c:v>
                </c:pt>
                <c:pt idx="18">
                  <c:v>12250000</c:v>
                </c:pt>
                <c:pt idx="19">
                  <c:v>13250000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9F-4DA4-B656-F6A61367D300}"/>
            </c:ext>
          </c:extLst>
        </c:ser>
        <c:ser>
          <c:idx val="1"/>
          <c:order val="1"/>
          <c:tx>
            <c:strRef>
              <c:f>Sheet1!$A$23</c:f>
              <c:strCache>
                <c:ptCount val="1"/>
                <c:pt idx="0">
                  <c:v>C3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Sheet1!$B$21:$U$21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</c:numCache>
            </c:numRef>
          </c:cat>
          <c:val>
            <c:numRef>
              <c:f>Sheet1!$B$23:$U$23</c:f>
              <c:numCache>
                <c:formatCode>General</c:formatCode>
                <c:ptCount val="20"/>
                <c:pt idx="0">
                  <c:v>22569.444444444445</c:v>
                </c:pt>
                <c:pt idx="1">
                  <c:v>43402.777777777774</c:v>
                </c:pt>
                <c:pt idx="2">
                  <c:v>53819.444444444445</c:v>
                </c:pt>
                <c:pt idx="3">
                  <c:v>59027.777777777774</c:v>
                </c:pt>
                <c:pt idx="4">
                  <c:v>85069.444444444453</c:v>
                </c:pt>
                <c:pt idx="5">
                  <c:v>145833.33333333334</c:v>
                </c:pt>
                <c:pt idx="6">
                  <c:v>351190.47619047615</c:v>
                </c:pt>
                <c:pt idx="7">
                  <c:v>297619.04761904763</c:v>
                </c:pt>
                <c:pt idx="8">
                  <c:v>450000</c:v>
                </c:pt>
                <c:pt idx="9">
                  <c:v>1050000</c:v>
                </c:pt>
                <c:pt idx="10">
                  <c:v>1175000</c:v>
                </c:pt>
                <c:pt idx="11">
                  <c:v>1575000</c:v>
                </c:pt>
                <c:pt idx="12">
                  <c:v>2500000</c:v>
                </c:pt>
                <c:pt idx="13">
                  <c:v>2850000</c:v>
                </c:pt>
                <c:pt idx="14">
                  <c:v>4500000</c:v>
                </c:pt>
                <c:pt idx="15">
                  <c:v>5900000</c:v>
                </c:pt>
                <c:pt idx="16">
                  <c:v>7666666.666666667</c:v>
                </c:pt>
                <c:pt idx="17">
                  <c:v>9583333.333333334</c:v>
                </c:pt>
                <c:pt idx="18">
                  <c:v>12625000</c:v>
                </c:pt>
                <c:pt idx="19">
                  <c:v>14875000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9F-4DA4-B656-F6A61367D300}"/>
            </c:ext>
          </c:extLst>
        </c:ser>
        <c:ser>
          <c:idx val="2"/>
          <c:order val="2"/>
          <c:tx>
            <c:strRef>
              <c:f>Sheet1!$A$24</c:f>
              <c:strCache>
                <c:ptCount val="1"/>
                <c:pt idx="0">
                  <c:v>G2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Sheet1!$B$21:$U$21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</c:numCache>
            </c:numRef>
          </c:cat>
          <c:val>
            <c:numRef>
              <c:f>Sheet1!$B$24:$U$24</c:f>
              <c:numCache>
                <c:formatCode>General</c:formatCode>
                <c:ptCount val="20"/>
                <c:pt idx="0">
                  <c:v>19097.222222222223</c:v>
                </c:pt>
                <c:pt idx="1">
                  <c:v>34722.222222222226</c:v>
                </c:pt>
                <c:pt idx="2">
                  <c:v>45138.888888888891</c:v>
                </c:pt>
                <c:pt idx="3">
                  <c:v>57291.666666666664</c:v>
                </c:pt>
                <c:pt idx="4">
                  <c:v>107638.88888888889</c:v>
                </c:pt>
                <c:pt idx="5">
                  <c:v>192708.33333333334</c:v>
                </c:pt>
                <c:pt idx="6">
                  <c:v>237500</c:v>
                </c:pt>
                <c:pt idx="7">
                  <c:v>337500</c:v>
                </c:pt>
                <c:pt idx="8">
                  <c:v>825000</c:v>
                </c:pt>
                <c:pt idx="9">
                  <c:v>5050000</c:v>
                </c:pt>
                <c:pt idx="10">
                  <c:v>8833333.333333334</c:v>
                </c:pt>
                <c:pt idx="11">
                  <c:v>13916666.666666666</c:v>
                </c:pt>
                <c:pt idx="12">
                  <c:v>16125000</c:v>
                </c:pt>
                <c:pt idx="13">
                  <c:v>22750000</c:v>
                </c:pt>
                <c:pt idx="14">
                  <c:v>20750000</c:v>
                </c:pt>
                <c:pt idx="15">
                  <c:v>22750000</c:v>
                </c:pt>
                <c:pt idx="16">
                  <c:v>20500000</c:v>
                </c:pt>
                <c:pt idx="17">
                  <c:v>24500000</c:v>
                </c:pt>
                <c:pt idx="18">
                  <c:v>24375000</c:v>
                </c:pt>
                <c:pt idx="19">
                  <c:v>24125000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9F-4DA4-B656-F6A61367D300}"/>
            </c:ext>
          </c:extLst>
        </c:ser>
        <c:ser>
          <c:idx val="3"/>
          <c:order val="3"/>
          <c:tx>
            <c:strRef>
              <c:f>Sheet1!$A$25</c:f>
              <c:strCache>
                <c:ptCount val="1"/>
                <c:pt idx="0">
                  <c:v>G3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Sheet1!$B$21:$U$21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</c:numCache>
            </c:numRef>
          </c:cat>
          <c:val>
            <c:numRef>
              <c:f>Sheet1!$B$25:$U$25</c:f>
              <c:numCache>
                <c:formatCode>General</c:formatCode>
                <c:ptCount val="20"/>
                <c:pt idx="0">
                  <c:v>27777.777777777777</c:v>
                </c:pt>
                <c:pt idx="1">
                  <c:v>36458.333333333336</c:v>
                </c:pt>
                <c:pt idx="2">
                  <c:v>43402.777777777774</c:v>
                </c:pt>
                <c:pt idx="3">
                  <c:v>53819.444444444445</c:v>
                </c:pt>
                <c:pt idx="4">
                  <c:v>111111.11111111111</c:v>
                </c:pt>
                <c:pt idx="5">
                  <c:v>131944.44444444444</c:v>
                </c:pt>
                <c:pt idx="6">
                  <c:v>212500</c:v>
                </c:pt>
                <c:pt idx="7">
                  <c:v>475000</c:v>
                </c:pt>
                <c:pt idx="8">
                  <c:v>825000</c:v>
                </c:pt>
                <c:pt idx="9">
                  <c:v>3600000</c:v>
                </c:pt>
                <c:pt idx="10">
                  <c:v>4600000</c:v>
                </c:pt>
                <c:pt idx="11">
                  <c:v>15833333.333333334</c:v>
                </c:pt>
                <c:pt idx="12">
                  <c:v>14875000</c:v>
                </c:pt>
                <c:pt idx="13">
                  <c:v>17250000</c:v>
                </c:pt>
                <c:pt idx="14">
                  <c:v>27250000</c:v>
                </c:pt>
                <c:pt idx="15">
                  <c:v>26500000</c:v>
                </c:pt>
                <c:pt idx="16">
                  <c:v>24000000</c:v>
                </c:pt>
                <c:pt idx="17">
                  <c:v>22625000</c:v>
                </c:pt>
                <c:pt idx="18">
                  <c:v>23750000</c:v>
                </c:pt>
                <c:pt idx="19">
                  <c:v>23375000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9F-4DA4-B656-F6A61367D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448304"/>
        <c:axId val="349222784"/>
      </c:lineChart>
      <c:catAx>
        <c:axId val="35544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  <a:r>
                  <a:rPr lang="en-US" baseline="0"/>
                  <a:t> after Innoculation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222784"/>
        <c:crosses val="autoZero"/>
        <c:auto val="1"/>
        <c:lblAlgn val="ctr"/>
        <c:lblOffset val="100"/>
        <c:noMultiLvlLbl val="0"/>
      </c:catAx>
      <c:valAx>
        <c:axId val="349222784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</a:t>
                </a:r>
                <a:r>
                  <a:rPr lang="en-US" baseline="0"/>
                  <a:t> Density per mL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44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10</a:t>
            </a:r>
            <a:r>
              <a:rPr lang="en-US" sz="1400" b="0" i="0" baseline="30000">
                <a:effectLst/>
              </a:rPr>
              <a:t>5</a:t>
            </a:r>
            <a:r>
              <a:rPr lang="en-US" sz="1400" b="0" i="0" baseline="0">
                <a:effectLst/>
              </a:rPr>
              <a:t> Lag time Growth Curve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Sheet1!$A$35</c:f>
              <c:strCache>
                <c:ptCount val="1"/>
                <c:pt idx="0">
                  <c:v>B10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Sheet1!$B$34:$U$34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</c:numCache>
            </c:numRef>
          </c:cat>
          <c:val>
            <c:numRef>
              <c:f>Sheet1!$B$35:$U$35</c:f>
              <c:numCache>
                <c:formatCode>General</c:formatCode>
                <c:ptCount val="20"/>
                <c:pt idx="0">
                  <c:v>250000</c:v>
                </c:pt>
                <c:pt idx="1">
                  <c:v>350000</c:v>
                </c:pt>
                <c:pt idx="2">
                  <c:v>537500</c:v>
                </c:pt>
                <c:pt idx="3">
                  <c:v>550000</c:v>
                </c:pt>
                <c:pt idx="4">
                  <c:v>1087500</c:v>
                </c:pt>
                <c:pt idx="5">
                  <c:v>1275000</c:v>
                </c:pt>
                <c:pt idx="6">
                  <c:v>2500000</c:v>
                </c:pt>
                <c:pt idx="7">
                  <c:v>3200000</c:v>
                </c:pt>
                <c:pt idx="8">
                  <c:v>4850000</c:v>
                </c:pt>
                <c:pt idx="9">
                  <c:v>8833333.333333334</c:v>
                </c:pt>
                <c:pt idx="10">
                  <c:v>9083333.333333334</c:v>
                </c:pt>
                <c:pt idx="11">
                  <c:v>12250000</c:v>
                </c:pt>
                <c:pt idx="12">
                  <c:v>12125000</c:v>
                </c:pt>
                <c:pt idx="13">
                  <c:v>15125000</c:v>
                </c:pt>
                <c:pt idx="14">
                  <c:v>15375000</c:v>
                </c:pt>
                <c:pt idx="15">
                  <c:v>15625000</c:v>
                </c:pt>
                <c:pt idx="16">
                  <c:v>12750000</c:v>
                </c:pt>
                <c:pt idx="17">
                  <c:v>13750000</c:v>
                </c:pt>
                <c:pt idx="18">
                  <c:v>14250000</c:v>
                </c:pt>
                <c:pt idx="19">
                  <c:v>13250000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E7-443A-93F8-9E09F58044F3}"/>
            </c:ext>
          </c:extLst>
        </c:ser>
        <c:ser>
          <c:idx val="1"/>
          <c:order val="1"/>
          <c:tx>
            <c:strRef>
              <c:f>Sheet1!$A$36</c:f>
              <c:strCache>
                <c:ptCount val="1"/>
                <c:pt idx="0">
                  <c:v>C3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Sheet1!$B$34:$U$34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</c:numCache>
            </c:numRef>
          </c:cat>
          <c:val>
            <c:numRef>
              <c:f>Sheet1!$B$36:$U$36</c:f>
              <c:numCache>
                <c:formatCode>General</c:formatCode>
                <c:ptCount val="20"/>
                <c:pt idx="0">
                  <c:v>287500</c:v>
                </c:pt>
                <c:pt idx="1">
                  <c:v>325000</c:v>
                </c:pt>
                <c:pt idx="2">
                  <c:v>287500</c:v>
                </c:pt>
                <c:pt idx="3">
                  <c:v>562500</c:v>
                </c:pt>
                <c:pt idx="4">
                  <c:v>1225000</c:v>
                </c:pt>
                <c:pt idx="5">
                  <c:v>1700000</c:v>
                </c:pt>
                <c:pt idx="6">
                  <c:v>1200000</c:v>
                </c:pt>
                <c:pt idx="7">
                  <c:v>3550000</c:v>
                </c:pt>
                <c:pt idx="8">
                  <c:v>4450000</c:v>
                </c:pt>
                <c:pt idx="9">
                  <c:v>9166666.666666666</c:v>
                </c:pt>
                <c:pt idx="10">
                  <c:v>10000000</c:v>
                </c:pt>
                <c:pt idx="11">
                  <c:v>11333333.333333334</c:v>
                </c:pt>
                <c:pt idx="12">
                  <c:v>10875000</c:v>
                </c:pt>
                <c:pt idx="13">
                  <c:v>13750000</c:v>
                </c:pt>
                <c:pt idx="14">
                  <c:v>17375000</c:v>
                </c:pt>
                <c:pt idx="15">
                  <c:v>20250000</c:v>
                </c:pt>
                <c:pt idx="16">
                  <c:v>15250000</c:v>
                </c:pt>
                <c:pt idx="17">
                  <c:v>15875000</c:v>
                </c:pt>
                <c:pt idx="18">
                  <c:v>16000000</c:v>
                </c:pt>
                <c:pt idx="19">
                  <c:v>15000000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E7-443A-93F8-9E09F58044F3}"/>
            </c:ext>
          </c:extLst>
        </c:ser>
        <c:ser>
          <c:idx val="2"/>
          <c:order val="2"/>
          <c:tx>
            <c:strRef>
              <c:f>Sheet1!$A$37</c:f>
              <c:strCache>
                <c:ptCount val="1"/>
                <c:pt idx="0">
                  <c:v>G2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Sheet1!$B$34:$U$34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</c:numCache>
            </c:numRef>
          </c:cat>
          <c:val>
            <c:numRef>
              <c:f>Sheet1!$B$37:$U$37</c:f>
              <c:numCache>
                <c:formatCode>General</c:formatCode>
                <c:ptCount val="20"/>
                <c:pt idx="0">
                  <c:v>225000</c:v>
                </c:pt>
                <c:pt idx="1">
                  <c:v>312500</c:v>
                </c:pt>
                <c:pt idx="2">
                  <c:v>387500</c:v>
                </c:pt>
                <c:pt idx="3">
                  <c:v>825000</c:v>
                </c:pt>
                <c:pt idx="4">
                  <c:v>1050000</c:v>
                </c:pt>
                <c:pt idx="5">
                  <c:v>1800000</c:v>
                </c:pt>
                <c:pt idx="6">
                  <c:v>2900000</c:v>
                </c:pt>
                <c:pt idx="7">
                  <c:v>5200000</c:v>
                </c:pt>
                <c:pt idx="8">
                  <c:v>6750000</c:v>
                </c:pt>
                <c:pt idx="9">
                  <c:v>17416666.666666668</c:v>
                </c:pt>
                <c:pt idx="10">
                  <c:v>19750000</c:v>
                </c:pt>
                <c:pt idx="11">
                  <c:v>20750000</c:v>
                </c:pt>
                <c:pt idx="12">
                  <c:v>17250000</c:v>
                </c:pt>
                <c:pt idx="13">
                  <c:v>23250000</c:v>
                </c:pt>
                <c:pt idx="14">
                  <c:v>24750000</c:v>
                </c:pt>
                <c:pt idx="15">
                  <c:v>25875000</c:v>
                </c:pt>
                <c:pt idx="16">
                  <c:v>24875000</c:v>
                </c:pt>
                <c:pt idx="17">
                  <c:v>23500000</c:v>
                </c:pt>
                <c:pt idx="18">
                  <c:v>24250000</c:v>
                </c:pt>
                <c:pt idx="19">
                  <c:v>28250000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E7-443A-93F8-9E09F58044F3}"/>
            </c:ext>
          </c:extLst>
        </c:ser>
        <c:ser>
          <c:idx val="3"/>
          <c:order val="3"/>
          <c:tx>
            <c:strRef>
              <c:f>Sheet1!$A$38</c:f>
              <c:strCache>
                <c:ptCount val="1"/>
                <c:pt idx="0">
                  <c:v>G3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Sheet1!$B$34:$U$34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</c:numCache>
            </c:numRef>
          </c:cat>
          <c:val>
            <c:numRef>
              <c:f>Sheet1!$B$38:$U$38</c:f>
              <c:numCache>
                <c:formatCode>General</c:formatCode>
                <c:ptCount val="20"/>
                <c:pt idx="0">
                  <c:v>212500</c:v>
                </c:pt>
                <c:pt idx="1">
                  <c:v>325000</c:v>
                </c:pt>
                <c:pt idx="2">
                  <c:v>300000</c:v>
                </c:pt>
                <c:pt idx="3">
                  <c:v>625000</c:v>
                </c:pt>
                <c:pt idx="4">
                  <c:v>1087500</c:v>
                </c:pt>
                <c:pt idx="5">
                  <c:v>2125000</c:v>
                </c:pt>
                <c:pt idx="6">
                  <c:v>2750000</c:v>
                </c:pt>
                <c:pt idx="7">
                  <c:v>6500000</c:v>
                </c:pt>
                <c:pt idx="8">
                  <c:v>8600000</c:v>
                </c:pt>
                <c:pt idx="9">
                  <c:v>15083333.333333334</c:v>
                </c:pt>
                <c:pt idx="10">
                  <c:v>15666666.666666666</c:v>
                </c:pt>
                <c:pt idx="11">
                  <c:v>20500000</c:v>
                </c:pt>
                <c:pt idx="12">
                  <c:v>22500000</c:v>
                </c:pt>
                <c:pt idx="13">
                  <c:v>24500000</c:v>
                </c:pt>
                <c:pt idx="14">
                  <c:v>25250000</c:v>
                </c:pt>
                <c:pt idx="15">
                  <c:v>33250000</c:v>
                </c:pt>
                <c:pt idx="16">
                  <c:v>30500000</c:v>
                </c:pt>
                <c:pt idx="17">
                  <c:v>31125000</c:v>
                </c:pt>
                <c:pt idx="18">
                  <c:v>29625000</c:v>
                </c:pt>
                <c:pt idx="19">
                  <c:v>43875000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E7-443A-93F8-9E09F5804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232688"/>
        <c:axId val="363232272"/>
      </c:lineChart>
      <c:catAx>
        <c:axId val="36323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 after Innoculation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232272"/>
        <c:crosses val="autoZero"/>
        <c:auto val="1"/>
        <c:lblAlgn val="ctr"/>
        <c:lblOffset val="100"/>
        <c:noMultiLvlLbl val="0"/>
      </c:catAx>
      <c:valAx>
        <c:axId val="363232272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 Desnity per mL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23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11 hours</a:t>
            </a:r>
            <a:r>
              <a:rPr lang="en-US" baseline="0"/>
              <a:t> 10^3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B10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Sheet1!$B$9:$J$9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numCache>
            </c:numRef>
          </c:cat>
          <c:val>
            <c:numRef>
              <c:f>Sheet1!$B$10:$J$10</c:f>
              <c:numCache>
                <c:formatCode>General</c:formatCode>
                <c:ptCount val="9"/>
                <c:pt idx="0">
                  <c:v>2777.7777777777778</c:v>
                </c:pt>
                <c:pt idx="1">
                  <c:v>3645.8333333333335</c:v>
                </c:pt>
                <c:pt idx="2">
                  <c:v>4687.5000000000009</c:v>
                </c:pt>
                <c:pt idx="3">
                  <c:v>6076.3888888888887</c:v>
                </c:pt>
                <c:pt idx="4">
                  <c:v>11904.761904761905</c:v>
                </c:pt>
                <c:pt idx="5">
                  <c:v>15476.190476190477</c:v>
                </c:pt>
                <c:pt idx="6">
                  <c:v>25000</c:v>
                </c:pt>
                <c:pt idx="7">
                  <c:v>26190.476190476191</c:v>
                </c:pt>
                <c:pt idx="8">
                  <c:v>38095.238095238099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CD-4F05-AEDB-A7E913E1641C}"/>
            </c:ext>
          </c:extLst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C3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Sheet1!$B$9:$J$9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numCache>
            </c:numRef>
          </c:cat>
          <c:val>
            <c:numRef>
              <c:f>Sheet1!$B$11:$J$11</c:f>
              <c:numCache>
                <c:formatCode>General</c:formatCode>
                <c:ptCount val="9"/>
                <c:pt idx="0">
                  <c:v>3298.6111111111113</c:v>
                </c:pt>
                <c:pt idx="1">
                  <c:v>3993.0555555555561</c:v>
                </c:pt>
                <c:pt idx="2">
                  <c:v>55555.555555555555</c:v>
                </c:pt>
                <c:pt idx="3">
                  <c:v>83333.333333333328</c:v>
                </c:pt>
                <c:pt idx="4">
                  <c:v>113095.23809523809</c:v>
                </c:pt>
                <c:pt idx="5">
                  <c:v>12500</c:v>
                </c:pt>
                <c:pt idx="6">
                  <c:v>30952.380952380954</c:v>
                </c:pt>
                <c:pt idx="7">
                  <c:v>39285.71428571429</c:v>
                </c:pt>
                <c:pt idx="8">
                  <c:v>39880.952380952382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CD-4F05-AEDB-A7E913E1641C}"/>
            </c:ext>
          </c:extLst>
        </c:ser>
        <c:ser>
          <c:idx val="2"/>
          <c:order val="2"/>
          <c:tx>
            <c:strRef>
              <c:f>Sheet1!$A$12</c:f>
              <c:strCache>
                <c:ptCount val="1"/>
                <c:pt idx="0">
                  <c:v>G2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Sheet1!$B$9:$J$9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numCache>
            </c:numRef>
          </c:cat>
          <c:val>
            <c:numRef>
              <c:f>Sheet1!$B$12:$J$12</c:f>
              <c:numCache>
                <c:formatCode>General</c:formatCode>
                <c:ptCount val="9"/>
                <c:pt idx="0">
                  <c:v>1909.7222222222224</c:v>
                </c:pt>
                <c:pt idx="1">
                  <c:v>3819.4444444444448</c:v>
                </c:pt>
                <c:pt idx="2">
                  <c:v>48611.111111111109</c:v>
                </c:pt>
                <c:pt idx="3">
                  <c:v>60763.888888888891</c:v>
                </c:pt>
                <c:pt idx="4">
                  <c:v>130952.38095238096</c:v>
                </c:pt>
                <c:pt idx="5">
                  <c:v>13690.476190476193</c:v>
                </c:pt>
                <c:pt idx="6">
                  <c:v>29761.90476190476</c:v>
                </c:pt>
                <c:pt idx="7">
                  <c:v>34523.809523809527</c:v>
                </c:pt>
                <c:pt idx="8">
                  <c:v>70238.095238095237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CD-4F05-AEDB-A7E913E1641C}"/>
            </c:ext>
          </c:extLst>
        </c:ser>
        <c:ser>
          <c:idx val="3"/>
          <c:order val="3"/>
          <c:tx>
            <c:strRef>
              <c:f>Sheet1!$A$13</c:f>
              <c:strCache>
                <c:ptCount val="1"/>
                <c:pt idx="0">
                  <c:v>G3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Sheet1!$B$9:$J$9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numCache>
            </c:numRef>
          </c:cat>
          <c:val>
            <c:numRef>
              <c:f>Sheet1!$B$13:$J$13</c:f>
              <c:numCache>
                <c:formatCode>General</c:formatCode>
                <c:ptCount val="9"/>
                <c:pt idx="0">
                  <c:v>2430.5555555555557</c:v>
                </c:pt>
                <c:pt idx="1">
                  <c:v>2604.1666666666665</c:v>
                </c:pt>
                <c:pt idx="2">
                  <c:v>57291.666666666664</c:v>
                </c:pt>
                <c:pt idx="3">
                  <c:v>59027.777777777774</c:v>
                </c:pt>
                <c:pt idx="4">
                  <c:v>142857.14285714284</c:v>
                </c:pt>
                <c:pt idx="5">
                  <c:v>14285.714285714286</c:v>
                </c:pt>
                <c:pt idx="6">
                  <c:v>19047.61904761905</c:v>
                </c:pt>
                <c:pt idx="7">
                  <c:v>44047.619047619053</c:v>
                </c:pt>
                <c:pt idx="8">
                  <c:v>89285.71428571429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CD-4F05-AEDB-A7E913E16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675840"/>
        <c:axId val="310676672"/>
      </c:lineChart>
      <c:catAx>
        <c:axId val="31067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676672"/>
        <c:crosses val="autoZero"/>
        <c:auto val="1"/>
        <c:lblAlgn val="ctr"/>
        <c:lblOffset val="100"/>
        <c:noMultiLvlLbl val="0"/>
      </c:catAx>
      <c:valAx>
        <c:axId val="31067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67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11 hours</a:t>
            </a:r>
            <a:r>
              <a:rPr lang="en-US" baseline="0"/>
              <a:t> 10^4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Sheet1!$A$22</c:f>
              <c:strCache>
                <c:ptCount val="1"/>
                <c:pt idx="0">
                  <c:v>B10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Sheet1!$B$21:$J$21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numCache>
            </c:numRef>
          </c:cat>
          <c:val>
            <c:numRef>
              <c:f>Sheet1!$B$22:$J$22</c:f>
              <c:numCache>
                <c:formatCode>General</c:formatCode>
                <c:ptCount val="9"/>
                <c:pt idx="0">
                  <c:v>29513.888888888887</c:v>
                </c:pt>
                <c:pt idx="1">
                  <c:v>39930.555555555555</c:v>
                </c:pt>
                <c:pt idx="2">
                  <c:v>55555.555555555555</c:v>
                </c:pt>
                <c:pt idx="3">
                  <c:v>62500</c:v>
                </c:pt>
                <c:pt idx="4">
                  <c:v>88541.666666666672</c:v>
                </c:pt>
                <c:pt idx="5">
                  <c:v>157986.11111111109</c:v>
                </c:pt>
                <c:pt idx="6">
                  <c:v>161458.33333333334</c:v>
                </c:pt>
                <c:pt idx="7">
                  <c:v>74652.777777777781</c:v>
                </c:pt>
                <c:pt idx="8">
                  <c:v>487500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58-4071-94BF-F2866D154827}"/>
            </c:ext>
          </c:extLst>
        </c:ser>
        <c:ser>
          <c:idx val="1"/>
          <c:order val="1"/>
          <c:tx>
            <c:strRef>
              <c:f>Sheet1!$A$23</c:f>
              <c:strCache>
                <c:ptCount val="1"/>
                <c:pt idx="0">
                  <c:v>C3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Sheet1!$B$21:$J$21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numCache>
            </c:numRef>
          </c:cat>
          <c:val>
            <c:numRef>
              <c:f>Sheet1!$B$23:$J$23</c:f>
              <c:numCache>
                <c:formatCode>General</c:formatCode>
                <c:ptCount val="9"/>
                <c:pt idx="0">
                  <c:v>22569.444444444445</c:v>
                </c:pt>
                <c:pt idx="1">
                  <c:v>43402.777777777774</c:v>
                </c:pt>
                <c:pt idx="2">
                  <c:v>53819.444444444445</c:v>
                </c:pt>
                <c:pt idx="3">
                  <c:v>59027.777777777774</c:v>
                </c:pt>
                <c:pt idx="4">
                  <c:v>85069.444444444453</c:v>
                </c:pt>
                <c:pt idx="5">
                  <c:v>145833.33333333334</c:v>
                </c:pt>
                <c:pt idx="6">
                  <c:v>351190.47619047615</c:v>
                </c:pt>
                <c:pt idx="7">
                  <c:v>297619.04761904763</c:v>
                </c:pt>
                <c:pt idx="8">
                  <c:v>450000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58-4071-94BF-F2866D154827}"/>
            </c:ext>
          </c:extLst>
        </c:ser>
        <c:ser>
          <c:idx val="2"/>
          <c:order val="2"/>
          <c:tx>
            <c:strRef>
              <c:f>Sheet1!$A$24</c:f>
              <c:strCache>
                <c:ptCount val="1"/>
                <c:pt idx="0">
                  <c:v>G2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Sheet1!$B$21:$J$21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numCache>
            </c:numRef>
          </c:cat>
          <c:val>
            <c:numRef>
              <c:f>Sheet1!$B$24:$J$24</c:f>
              <c:numCache>
                <c:formatCode>General</c:formatCode>
                <c:ptCount val="9"/>
                <c:pt idx="0">
                  <c:v>19097.222222222223</c:v>
                </c:pt>
                <c:pt idx="1">
                  <c:v>34722.222222222226</c:v>
                </c:pt>
                <c:pt idx="2">
                  <c:v>45138.888888888891</c:v>
                </c:pt>
                <c:pt idx="3">
                  <c:v>57291.666666666664</c:v>
                </c:pt>
                <c:pt idx="4">
                  <c:v>107638.88888888889</c:v>
                </c:pt>
                <c:pt idx="5">
                  <c:v>192708.33333333334</c:v>
                </c:pt>
                <c:pt idx="6">
                  <c:v>237500</c:v>
                </c:pt>
                <c:pt idx="7">
                  <c:v>337500</c:v>
                </c:pt>
                <c:pt idx="8">
                  <c:v>825000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58-4071-94BF-F2866D154827}"/>
            </c:ext>
          </c:extLst>
        </c:ser>
        <c:ser>
          <c:idx val="3"/>
          <c:order val="3"/>
          <c:tx>
            <c:strRef>
              <c:f>Sheet1!$A$25</c:f>
              <c:strCache>
                <c:ptCount val="1"/>
                <c:pt idx="0">
                  <c:v>G3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Sheet1!$B$21:$J$21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numCache>
            </c:numRef>
          </c:cat>
          <c:val>
            <c:numRef>
              <c:f>Sheet1!$B$25:$J$25</c:f>
              <c:numCache>
                <c:formatCode>General</c:formatCode>
                <c:ptCount val="9"/>
                <c:pt idx="0">
                  <c:v>27777.777777777777</c:v>
                </c:pt>
                <c:pt idx="1">
                  <c:v>36458.333333333336</c:v>
                </c:pt>
                <c:pt idx="2">
                  <c:v>43402.777777777774</c:v>
                </c:pt>
                <c:pt idx="3">
                  <c:v>53819.444444444445</c:v>
                </c:pt>
                <c:pt idx="4">
                  <c:v>111111.11111111111</c:v>
                </c:pt>
                <c:pt idx="5">
                  <c:v>131944.44444444444</c:v>
                </c:pt>
                <c:pt idx="6">
                  <c:v>212500</c:v>
                </c:pt>
                <c:pt idx="7">
                  <c:v>475000</c:v>
                </c:pt>
                <c:pt idx="8">
                  <c:v>825000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58-4071-94BF-F2866D154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674592"/>
        <c:axId val="310674176"/>
      </c:lineChart>
      <c:catAx>
        <c:axId val="31067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674176"/>
        <c:crosses val="autoZero"/>
        <c:auto val="1"/>
        <c:lblAlgn val="ctr"/>
        <c:lblOffset val="100"/>
        <c:noMultiLvlLbl val="0"/>
      </c:catAx>
      <c:valAx>
        <c:axId val="31067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67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11 hours 10^5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Sheet1!$A$35</c:f>
              <c:strCache>
                <c:ptCount val="1"/>
                <c:pt idx="0">
                  <c:v>B10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Sheet1!$B$34:$J$34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numCache>
            </c:numRef>
          </c:cat>
          <c:val>
            <c:numRef>
              <c:f>Sheet1!$B$35:$J$35</c:f>
              <c:numCache>
                <c:formatCode>General</c:formatCode>
                <c:ptCount val="9"/>
                <c:pt idx="0">
                  <c:v>250000</c:v>
                </c:pt>
                <c:pt idx="1">
                  <c:v>350000</c:v>
                </c:pt>
                <c:pt idx="2">
                  <c:v>537500</c:v>
                </c:pt>
                <c:pt idx="3">
                  <c:v>550000</c:v>
                </c:pt>
                <c:pt idx="4">
                  <c:v>1087500</c:v>
                </c:pt>
                <c:pt idx="5">
                  <c:v>1275000</c:v>
                </c:pt>
                <c:pt idx="6">
                  <c:v>2500000</c:v>
                </c:pt>
                <c:pt idx="7">
                  <c:v>3200000</c:v>
                </c:pt>
                <c:pt idx="8">
                  <c:v>4850000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DD-43FE-B913-48FA963BF817}"/>
            </c:ext>
          </c:extLst>
        </c:ser>
        <c:ser>
          <c:idx val="1"/>
          <c:order val="1"/>
          <c:tx>
            <c:strRef>
              <c:f>Sheet1!$A$36</c:f>
              <c:strCache>
                <c:ptCount val="1"/>
                <c:pt idx="0">
                  <c:v>C3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Sheet1!$B$34:$J$34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numCache>
            </c:numRef>
          </c:cat>
          <c:val>
            <c:numRef>
              <c:f>Sheet1!$B$36:$J$36</c:f>
              <c:numCache>
                <c:formatCode>General</c:formatCode>
                <c:ptCount val="9"/>
                <c:pt idx="0">
                  <c:v>287500</c:v>
                </c:pt>
                <c:pt idx="1">
                  <c:v>325000</c:v>
                </c:pt>
                <c:pt idx="2">
                  <c:v>287500</c:v>
                </c:pt>
                <c:pt idx="3">
                  <c:v>562500</c:v>
                </c:pt>
                <c:pt idx="4">
                  <c:v>1225000</c:v>
                </c:pt>
                <c:pt idx="5">
                  <c:v>1700000</c:v>
                </c:pt>
                <c:pt idx="6">
                  <c:v>1200000</c:v>
                </c:pt>
                <c:pt idx="7">
                  <c:v>3550000</c:v>
                </c:pt>
                <c:pt idx="8">
                  <c:v>4450000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DD-43FE-B913-48FA963BF817}"/>
            </c:ext>
          </c:extLst>
        </c:ser>
        <c:ser>
          <c:idx val="2"/>
          <c:order val="2"/>
          <c:tx>
            <c:strRef>
              <c:f>Sheet1!$A$37</c:f>
              <c:strCache>
                <c:ptCount val="1"/>
                <c:pt idx="0">
                  <c:v>G2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Sheet1!$B$34:$J$34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numCache>
            </c:numRef>
          </c:cat>
          <c:val>
            <c:numRef>
              <c:f>Sheet1!$B$37:$J$37</c:f>
              <c:numCache>
                <c:formatCode>General</c:formatCode>
                <c:ptCount val="9"/>
                <c:pt idx="0">
                  <c:v>225000</c:v>
                </c:pt>
                <c:pt idx="1">
                  <c:v>312500</c:v>
                </c:pt>
                <c:pt idx="2">
                  <c:v>387500</c:v>
                </c:pt>
                <c:pt idx="3">
                  <c:v>825000</c:v>
                </c:pt>
                <c:pt idx="4">
                  <c:v>1050000</c:v>
                </c:pt>
                <c:pt idx="5">
                  <c:v>1800000</c:v>
                </c:pt>
                <c:pt idx="6">
                  <c:v>2900000</c:v>
                </c:pt>
                <c:pt idx="7">
                  <c:v>5200000</c:v>
                </c:pt>
                <c:pt idx="8">
                  <c:v>6750000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DD-43FE-B913-48FA963BF817}"/>
            </c:ext>
          </c:extLst>
        </c:ser>
        <c:ser>
          <c:idx val="3"/>
          <c:order val="3"/>
          <c:tx>
            <c:strRef>
              <c:f>Sheet1!$A$38</c:f>
              <c:strCache>
                <c:ptCount val="1"/>
                <c:pt idx="0">
                  <c:v>G3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Sheet1!$B$34:$J$34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numCache>
            </c:numRef>
          </c:cat>
          <c:val>
            <c:numRef>
              <c:f>Sheet1!$B$38:$J$38</c:f>
              <c:numCache>
                <c:formatCode>General</c:formatCode>
                <c:ptCount val="9"/>
                <c:pt idx="0">
                  <c:v>212500</c:v>
                </c:pt>
                <c:pt idx="1">
                  <c:v>325000</c:v>
                </c:pt>
                <c:pt idx="2">
                  <c:v>300000</c:v>
                </c:pt>
                <c:pt idx="3">
                  <c:v>625000</c:v>
                </c:pt>
                <c:pt idx="4">
                  <c:v>1087500</c:v>
                </c:pt>
                <c:pt idx="5">
                  <c:v>2125000</c:v>
                </c:pt>
                <c:pt idx="6">
                  <c:v>2750000</c:v>
                </c:pt>
                <c:pt idx="7">
                  <c:v>6500000</c:v>
                </c:pt>
                <c:pt idx="8">
                  <c:v>8600000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DD-43FE-B913-48FA963BF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120800"/>
        <c:axId val="426118720"/>
      </c:lineChart>
      <c:catAx>
        <c:axId val="42612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118720"/>
        <c:crosses val="autoZero"/>
        <c:auto val="1"/>
        <c:lblAlgn val="ctr"/>
        <c:lblOffset val="100"/>
        <c:noMultiLvlLbl val="0"/>
      </c:catAx>
      <c:valAx>
        <c:axId val="42611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12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176212</xdr:colOff>
      <xdr:row>0</xdr:row>
      <xdr:rowOff>38100</xdr:rowOff>
    </xdr:from>
    <xdr:to>
      <xdr:col>28</xdr:col>
      <xdr:colOff>481012</xdr:colOff>
      <xdr:row>14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176212</xdr:colOff>
      <xdr:row>14</xdr:row>
      <xdr:rowOff>85725</xdr:rowOff>
    </xdr:from>
    <xdr:to>
      <xdr:col>28</xdr:col>
      <xdr:colOff>481012</xdr:colOff>
      <xdr:row>28</xdr:row>
      <xdr:rowOff>161925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195262</xdr:colOff>
      <xdr:row>28</xdr:row>
      <xdr:rowOff>180975</xdr:rowOff>
    </xdr:from>
    <xdr:to>
      <xdr:col>28</xdr:col>
      <xdr:colOff>500062</xdr:colOff>
      <xdr:row>43</xdr:row>
      <xdr:rowOff>66675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200025</xdr:colOff>
      <xdr:row>0</xdr:row>
      <xdr:rowOff>0</xdr:rowOff>
    </xdr:from>
    <xdr:to>
      <xdr:col>38</xdr:col>
      <xdr:colOff>504825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200025</xdr:colOff>
      <xdr:row>14</xdr:row>
      <xdr:rowOff>95250</xdr:rowOff>
    </xdr:from>
    <xdr:to>
      <xdr:col>38</xdr:col>
      <xdr:colOff>504825</xdr:colOff>
      <xdr:row>28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180975</xdr:colOff>
      <xdr:row>29</xdr:row>
      <xdr:rowOff>95250</xdr:rowOff>
    </xdr:from>
    <xdr:to>
      <xdr:col>38</xdr:col>
      <xdr:colOff>485775</xdr:colOff>
      <xdr:row>43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"/>
  <sheetViews>
    <sheetView tabSelected="1" topLeftCell="O1" zoomScaleNormal="100" workbookViewId="0">
      <selection activeCell="H26" sqref="H26:I26"/>
    </sheetView>
  </sheetViews>
  <sheetFormatPr defaultRowHeight="15" x14ac:dyDescent="0.25"/>
  <sheetData>
    <row r="1" spans="1:31" x14ac:dyDescent="0.25">
      <c r="A1" t="s">
        <v>0</v>
      </c>
      <c r="T1">
        <v>0.1</v>
      </c>
    </row>
    <row r="2" spans="1:31" x14ac:dyDescent="0.25">
      <c r="A2" t="s">
        <v>6</v>
      </c>
      <c r="B2">
        <v>3</v>
      </c>
      <c r="C2">
        <v>4</v>
      </c>
      <c r="D2">
        <v>5</v>
      </c>
      <c r="E2">
        <v>6</v>
      </c>
      <c r="F2">
        <v>7</v>
      </c>
      <c r="G2">
        <v>8</v>
      </c>
      <c r="H2">
        <v>9</v>
      </c>
      <c r="I2">
        <v>10</v>
      </c>
      <c r="J2">
        <v>11</v>
      </c>
      <c r="K2">
        <v>12</v>
      </c>
      <c r="L2">
        <v>13</v>
      </c>
      <c r="M2">
        <v>14</v>
      </c>
      <c r="N2">
        <v>15</v>
      </c>
      <c r="O2">
        <v>16</v>
      </c>
      <c r="P2">
        <v>17</v>
      </c>
      <c r="Q2">
        <v>18</v>
      </c>
      <c r="R2">
        <v>19</v>
      </c>
      <c r="S2">
        <v>20</v>
      </c>
      <c r="T2">
        <v>21</v>
      </c>
      <c r="U2">
        <v>22</v>
      </c>
    </row>
    <row r="3" spans="1:31" x14ac:dyDescent="0.25">
      <c r="B3">
        <v>3</v>
      </c>
      <c r="C3">
        <v>4</v>
      </c>
      <c r="D3">
        <v>5</v>
      </c>
      <c r="E3">
        <v>6</v>
      </c>
      <c r="F3">
        <v>7</v>
      </c>
      <c r="G3">
        <v>8</v>
      </c>
      <c r="H3">
        <v>9</v>
      </c>
      <c r="I3">
        <v>10</v>
      </c>
      <c r="J3">
        <v>11</v>
      </c>
      <c r="K3">
        <v>12</v>
      </c>
      <c r="L3">
        <v>13</v>
      </c>
      <c r="M3">
        <v>14</v>
      </c>
      <c r="N3">
        <v>15</v>
      </c>
      <c r="O3">
        <v>16</v>
      </c>
      <c r="P3">
        <v>17</v>
      </c>
      <c r="Q3">
        <v>18</v>
      </c>
      <c r="R3">
        <v>19</v>
      </c>
      <c r="S3">
        <v>20</v>
      </c>
      <c r="T3">
        <v>21</v>
      </c>
      <c r="U3">
        <v>22</v>
      </c>
    </row>
    <row r="4" spans="1:31" x14ac:dyDescent="0.25">
      <c r="A4" t="s">
        <v>1</v>
      </c>
      <c r="B4">
        <f>0.1*16/144</f>
        <v>1.1111111111111112E-2</v>
      </c>
      <c r="C4">
        <f>0.1*21/144</f>
        <v>1.4583333333333334E-2</v>
      </c>
      <c r="D4">
        <f>0.1*27/144</f>
        <v>1.8750000000000003E-2</v>
      </c>
      <c r="E4">
        <f>0.1*35/144</f>
        <v>2.4305555555555556E-2</v>
      </c>
      <c r="F4">
        <f>0.1*20/42</f>
        <v>4.7619047619047616E-2</v>
      </c>
      <c r="G4">
        <f>0.1*26/42</f>
        <v>6.1904761904761907E-2</v>
      </c>
      <c r="H4">
        <f>0.1*42/42</f>
        <v>0.1</v>
      </c>
      <c r="I4">
        <f>0.1*44/42</f>
        <v>0.10476190476190476</v>
      </c>
      <c r="J4">
        <f>0.1*64/42</f>
        <v>0.15238095238095239</v>
      </c>
      <c r="K4">
        <f>10/20</f>
        <v>0.5</v>
      </c>
      <c r="L4">
        <f>14/20</f>
        <v>0.7</v>
      </c>
      <c r="M4">
        <f>25/20</f>
        <v>1.25</v>
      </c>
      <c r="N4">
        <f>35/20</f>
        <v>1.75</v>
      </c>
      <c r="O4">
        <f>43/20</f>
        <v>2.15</v>
      </c>
      <c r="P4">
        <f>48/20</f>
        <v>2.4</v>
      </c>
      <c r="Q4">
        <f>55/20</f>
        <v>2.75</v>
      </c>
      <c r="R4">
        <f>91/20</f>
        <v>4.55</v>
      </c>
      <c r="S4">
        <f>62/10</f>
        <v>6.2</v>
      </c>
      <c r="T4">
        <f>81/10</f>
        <v>8.1</v>
      </c>
      <c r="U4">
        <f>97/10</f>
        <v>9.6999999999999993</v>
      </c>
    </row>
    <row r="5" spans="1:31" x14ac:dyDescent="0.25">
      <c r="A5" t="s">
        <v>2</v>
      </c>
      <c r="B5">
        <f>0.1*19/144</f>
        <v>1.3194444444444446E-2</v>
      </c>
      <c r="C5">
        <f>0.1*23/144</f>
        <v>1.5972222222222224E-2</v>
      </c>
      <c r="D5">
        <f>32/144</f>
        <v>0.22222222222222221</v>
      </c>
      <c r="E5">
        <f>48/144</f>
        <v>0.33333333333333331</v>
      </c>
      <c r="F5">
        <f>19/42</f>
        <v>0.45238095238095238</v>
      </c>
      <c r="G5">
        <f>0.1*21/42</f>
        <v>0.05</v>
      </c>
      <c r="H5">
        <f>0.1*52/42</f>
        <v>0.12380952380952381</v>
      </c>
      <c r="I5">
        <f>0.1*66/42</f>
        <v>0.15714285714285717</v>
      </c>
      <c r="J5">
        <f>0.1*67/42</f>
        <v>0.15952380952380954</v>
      </c>
      <c r="K5">
        <f>7/20</f>
        <v>0.35</v>
      </c>
      <c r="L5">
        <f>11/20</f>
        <v>0.55000000000000004</v>
      </c>
      <c r="M5">
        <f>19/20</f>
        <v>0.95</v>
      </c>
      <c r="N5">
        <f>31/20</f>
        <v>1.55</v>
      </c>
      <c r="O5">
        <f>35/20</f>
        <v>1.75</v>
      </c>
      <c r="P5">
        <f>40/20</f>
        <v>2</v>
      </c>
      <c r="Q5">
        <f>65/20</f>
        <v>3.25</v>
      </c>
      <c r="R5">
        <f>76/20</f>
        <v>3.8</v>
      </c>
      <c r="S5">
        <f>50/10</f>
        <v>5</v>
      </c>
      <c r="T5">
        <f>60/10</f>
        <v>6</v>
      </c>
      <c r="U5">
        <f>92/10</f>
        <v>9.1999999999999993</v>
      </c>
      <c r="AE5" s="1" t="s">
        <v>8</v>
      </c>
    </row>
    <row r="6" spans="1:31" x14ac:dyDescent="0.25">
      <c r="A6" s="1" t="s">
        <v>3</v>
      </c>
      <c r="B6">
        <f>0.1*11/144</f>
        <v>7.6388888888888895E-3</v>
      </c>
      <c r="C6">
        <f>0.1*22/144</f>
        <v>1.5277777777777779E-2</v>
      </c>
      <c r="D6">
        <f>28/144</f>
        <v>0.19444444444444445</v>
      </c>
      <c r="E6">
        <f>35/144</f>
        <v>0.24305555555555555</v>
      </c>
      <c r="F6">
        <f>22/42</f>
        <v>0.52380952380952384</v>
      </c>
      <c r="G6">
        <f>0.1*23/42</f>
        <v>5.4761904761904769E-2</v>
      </c>
      <c r="H6">
        <f>0.1*50/42</f>
        <v>0.11904761904761904</v>
      </c>
      <c r="I6">
        <f>0.1*58/42</f>
        <v>0.1380952380952381</v>
      </c>
      <c r="J6">
        <f>0.1*118/42</f>
        <v>0.28095238095238095</v>
      </c>
      <c r="K6">
        <f>19/20</f>
        <v>0.95</v>
      </c>
      <c r="L6">
        <f>39/20</f>
        <v>1.95</v>
      </c>
      <c r="M6">
        <f>92/20</f>
        <v>4.5999999999999996</v>
      </c>
      <c r="N6">
        <f>65/5</f>
        <v>13</v>
      </c>
      <c r="O6">
        <f>83/5</f>
        <v>16.600000000000001</v>
      </c>
      <c r="P6">
        <f>132/5</f>
        <v>26.4</v>
      </c>
      <c r="Q6">
        <f>89/2</f>
        <v>44.5</v>
      </c>
      <c r="R6">
        <f>118/2</f>
        <v>59</v>
      </c>
      <c r="S6">
        <f>124/2</f>
        <v>62</v>
      </c>
      <c r="T6">
        <f>150/2</f>
        <v>75</v>
      </c>
      <c r="U6">
        <f>174/2</f>
        <v>87</v>
      </c>
      <c r="AE6" s="2" t="s">
        <v>9</v>
      </c>
    </row>
    <row r="7" spans="1:31" x14ac:dyDescent="0.25">
      <c r="A7" s="1" t="s">
        <v>4</v>
      </c>
      <c r="B7">
        <f>0.1*14/144</f>
        <v>9.7222222222222224E-3</v>
      </c>
      <c r="C7">
        <f>0.1*15/144</f>
        <v>1.0416666666666666E-2</v>
      </c>
      <c r="D7">
        <f>33/144</f>
        <v>0.22916666666666666</v>
      </c>
      <c r="E7">
        <f>34/144</f>
        <v>0.2361111111111111</v>
      </c>
      <c r="F7">
        <f>24/42</f>
        <v>0.5714285714285714</v>
      </c>
      <c r="G7">
        <f>0.1*24/42</f>
        <v>5.7142857142857148E-2</v>
      </c>
      <c r="H7">
        <f>0.1*32/42</f>
        <v>7.6190476190476197E-2</v>
      </c>
      <c r="I7">
        <f>0.1*74/42</f>
        <v>0.1761904761904762</v>
      </c>
      <c r="J7">
        <f>0.1*150/42</f>
        <v>0.35714285714285715</v>
      </c>
      <c r="K7">
        <f>17/20</f>
        <v>0.85</v>
      </c>
      <c r="L7">
        <f>30/20</f>
        <v>1.5</v>
      </c>
      <c r="M7">
        <f>61/20</f>
        <v>3.05</v>
      </c>
      <c r="N7">
        <f>41/5</f>
        <v>8.1999999999999993</v>
      </c>
      <c r="O7">
        <f>59/5</f>
        <v>11.8</v>
      </c>
      <c r="P7">
        <f>91/5</f>
        <v>18.2</v>
      </c>
      <c r="Q7">
        <f>68/2</f>
        <v>34</v>
      </c>
      <c r="R7">
        <f>132/2</f>
        <v>66</v>
      </c>
      <c r="S7">
        <f>182/2</f>
        <v>91</v>
      </c>
      <c r="T7">
        <f>277/3</f>
        <v>92.333333333333329</v>
      </c>
      <c r="U7">
        <f>192/2</f>
        <v>96</v>
      </c>
    </row>
    <row r="9" spans="1:31" x14ac:dyDescent="0.25">
      <c r="B9">
        <v>3</v>
      </c>
      <c r="C9">
        <v>4</v>
      </c>
      <c r="D9">
        <v>5</v>
      </c>
      <c r="E9">
        <v>6</v>
      </c>
      <c r="F9">
        <v>7</v>
      </c>
      <c r="G9">
        <v>8</v>
      </c>
      <c r="H9">
        <v>9</v>
      </c>
      <c r="I9">
        <v>10</v>
      </c>
      <c r="J9">
        <v>11</v>
      </c>
      <c r="K9">
        <v>12</v>
      </c>
      <c r="L9">
        <v>13</v>
      </c>
      <c r="M9">
        <v>14</v>
      </c>
      <c r="N9">
        <v>15</v>
      </c>
      <c r="O9">
        <v>16</v>
      </c>
      <c r="P9">
        <v>17</v>
      </c>
      <c r="Q9">
        <v>18</v>
      </c>
      <c r="R9">
        <v>19</v>
      </c>
      <c r="S9">
        <v>20</v>
      </c>
      <c r="T9">
        <v>21</v>
      </c>
      <c r="U9">
        <v>22</v>
      </c>
    </row>
    <row r="10" spans="1:31" x14ac:dyDescent="0.25">
      <c r="A10" t="s">
        <v>1</v>
      </c>
      <c r="B10">
        <f t="shared" ref="B10:U10" si="0">(B4/4)*(10^6)</f>
        <v>2777.7777777777778</v>
      </c>
      <c r="C10">
        <f t="shared" si="0"/>
        <v>3645.8333333333335</v>
      </c>
      <c r="D10">
        <f t="shared" si="0"/>
        <v>4687.5000000000009</v>
      </c>
      <c r="E10">
        <f t="shared" si="0"/>
        <v>6076.3888888888887</v>
      </c>
      <c r="F10">
        <f t="shared" si="0"/>
        <v>11904.761904761905</v>
      </c>
      <c r="G10">
        <f t="shared" si="0"/>
        <v>15476.190476190477</v>
      </c>
      <c r="H10">
        <f t="shared" si="0"/>
        <v>25000</v>
      </c>
      <c r="I10">
        <f t="shared" si="0"/>
        <v>26190.476190476191</v>
      </c>
      <c r="J10">
        <f t="shared" si="0"/>
        <v>38095.238095238099</v>
      </c>
      <c r="K10">
        <f t="shared" si="0"/>
        <v>125000</v>
      </c>
      <c r="L10">
        <f t="shared" si="0"/>
        <v>175000</v>
      </c>
      <c r="M10">
        <f t="shared" si="0"/>
        <v>312500</v>
      </c>
      <c r="N10">
        <f t="shared" si="0"/>
        <v>437500</v>
      </c>
      <c r="O10">
        <f t="shared" si="0"/>
        <v>537500</v>
      </c>
      <c r="P10">
        <f t="shared" si="0"/>
        <v>600000</v>
      </c>
      <c r="Q10">
        <f t="shared" si="0"/>
        <v>687500</v>
      </c>
      <c r="R10">
        <f t="shared" si="0"/>
        <v>1137500</v>
      </c>
      <c r="S10">
        <f t="shared" si="0"/>
        <v>1550000</v>
      </c>
      <c r="T10">
        <f t="shared" si="0"/>
        <v>2025000</v>
      </c>
      <c r="U10">
        <f t="shared" si="0"/>
        <v>2425000</v>
      </c>
    </row>
    <row r="11" spans="1:31" x14ac:dyDescent="0.25">
      <c r="A11" t="s">
        <v>2</v>
      </c>
      <c r="B11">
        <f t="shared" ref="B11:U11" si="1">(B5/4)*(10^6)</f>
        <v>3298.6111111111113</v>
      </c>
      <c r="C11">
        <f t="shared" si="1"/>
        <v>3993.0555555555561</v>
      </c>
      <c r="D11">
        <f t="shared" si="1"/>
        <v>55555.555555555555</v>
      </c>
      <c r="E11">
        <f t="shared" si="1"/>
        <v>83333.333333333328</v>
      </c>
      <c r="F11">
        <f t="shared" si="1"/>
        <v>113095.23809523809</v>
      </c>
      <c r="G11">
        <f t="shared" si="1"/>
        <v>12500</v>
      </c>
      <c r="H11">
        <f t="shared" si="1"/>
        <v>30952.380952380954</v>
      </c>
      <c r="I11">
        <f t="shared" si="1"/>
        <v>39285.71428571429</v>
      </c>
      <c r="J11">
        <f t="shared" si="1"/>
        <v>39880.952380952382</v>
      </c>
      <c r="K11">
        <f t="shared" si="1"/>
        <v>87500</v>
      </c>
      <c r="L11">
        <f t="shared" si="1"/>
        <v>137500</v>
      </c>
      <c r="M11">
        <f t="shared" si="1"/>
        <v>237500</v>
      </c>
      <c r="N11">
        <f t="shared" si="1"/>
        <v>387500</v>
      </c>
      <c r="O11">
        <f t="shared" si="1"/>
        <v>437500</v>
      </c>
      <c r="P11">
        <f t="shared" si="1"/>
        <v>500000</v>
      </c>
      <c r="Q11">
        <f t="shared" si="1"/>
        <v>812500</v>
      </c>
      <c r="R11">
        <f t="shared" si="1"/>
        <v>950000</v>
      </c>
      <c r="S11">
        <f t="shared" si="1"/>
        <v>1250000</v>
      </c>
      <c r="T11">
        <f t="shared" si="1"/>
        <v>1500000</v>
      </c>
      <c r="U11">
        <f t="shared" si="1"/>
        <v>2300000</v>
      </c>
    </row>
    <row r="12" spans="1:31" x14ac:dyDescent="0.25">
      <c r="A12" s="1" t="s">
        <v>3</v>
      </c>
      <c r="B12">
        <f t="shared" ref="B12:U12" si="2">(B6/4)*(10^6)</f>
        <v>1909.7222222222224</v>
      </c>
      <c r="C12">
        <f t="shared" si="2"/>
        <v>3819.4444444444448</v>
      </c>
      <c r="D12">
        <f t="shared" si="2"/>
        <v>48611.111111111109</v>
      </c>
      <c r="E12">
        <f t="shared" si="2"/>
        <v>60763.888888888891</v>
      </c>
      <c r="F12">
        <f t="shared" si="2"/>
        <v>130952.38095238096</v>
      </c>
      <c r="G12">
        <f t="shared" si="2"/>
        <v>13690.476190476193</v>
      </c>
      <c r="H12">
        <f t="shared" si="2"/>
        <v>29761.90476190476</v>
      </c>
      <c r="I12">
        <f t="shared" si="2"/>
        <v>34523.809523809527</v>
      </c>
      <c r="J12">
        <f t="shared" si="2"/>
        <v>70238.095238095237</v>
      </c>
      <c r="K12">
        <f t="shared" si="2"/>
        <v>237500</v>
      </c>
      <c r="L12">
        <f t="shared" si="2"/>
        <v>487500</v>
      </c>
      <c r="M12">
        <f t="shared" si="2"/>
        <v>1150000</v>
      </c>
      <c r="N12">
        <f t="shared" si="2"/>
        <v>3250000</v>
      </c>
      <c r="O12">
        <f t="shared" si="2"/>
        <v>4150000.0000000005</v>
      </c>
      <c r="P12">
        <f t="shared" si="2"/>
        <v>6600000</v>
      </c>
      <c r="Q12">
        <f t="shared" si="2"/>
        <v>11125000</v>
      </c>
      <c r="R12">
        <f t="shared" si="2"/>
        <v>14750000</v>
      </c>
      <c r="S12">
        <f t="shared" si="2"/>
        <v>15500000</v>
      </c>
      <c r="T12">
        <f t="shared" si="2"/>
        <v>18750000</v>
      </c>
      <c r="U12">
        <f t="shared" si="2"/>
        <v>21750000</v>
      </c>
    </row>
    <row r="13" spans="1:31" x14ac:dyDescent="0.25">
      <c r="A13" s="1" t="s">
        <v>4</v>
      </c>
      <c r="B13">
        <f t="shared" ref="B13:U13" si="3">(B7/4)*(10^6)</f>
        <v>2430.5555555555557</v>
      </c>
      <c r="C13">
        <f t="shared" si="3"/>
        <v>2604.1666666666665</v>
      </c>
      <c r="D13">
        <f t="shared" si="3"/>
        <v>57291.666666666664</v>
      </c>
      <c r="E13">
        <f t="shared" si="3"/>
        <v>59027.777777777774</v>
      </c>
      <c r="F13">
        <f t="shared" si="3"/>
        <v>142857.14285714284</v>
      </c>
      <c r="G13">
        <f t="shared" si="3"/>
        <v>14285.714285714286</v>
      </c>
      <c r="H13">
        <f t="shared" si="3"/>
        <v>19047.61904761905</v>
      </c>
      <c r="I13">
        <f t="shared" si="3"/>
        <v>44047.619047619053</v>
      </c>
      <c r="J13">
        <f t="shared" si="3"/>
        <v>89285.71428571429</v>
      </c>
      <c r="K13">
        <f t="shared" si="3"/>
        <v>212500</v>
      </c>
      <c r="L13">
        <f t="shared" si="3"/>
        <v>375000</v>
      </c>
      <c r="M13">
        <f t="shared" si="3"/>
        <v>762500</v>
      </c>
      <c r="N13">
        <f t="shared" si="3"/>
        <v>2049999.9999999998</v>
      </c>
      <c r="O13">
        <f t="shared" si="3"/>
        <v>2950000</v>
      </c>
      <c r="P13">
        <f t="shared" si="3"/>
        <v>4550000</v>
      </c>
      <c r="Q13">
        <f t="shared" si="3"/>
        <v>8500000</v>
      </c>
      <c r="R13">
        <f t="shared" si="3"/>
        <v>16500000</v>
      </c>
      <c r="S13">
        <f t="shared" si="3"/>
        <v>22750000</v>
      </c>
      <c r="T13">
        <f t="shared" si="3"/>
        <v>23083333.333333332</v>
      </c>
      <c r="U13">
        <f t="shared" si="3"/>
        <v>24000000</v>
      </c>
    </row>
    <row r="15" spans="1:31" x14ac:dyDescent="0.25">
      <c r="A15" t="s">
        <v>5</v>
      </c>
      <c r="B15">
        <v>3</v>
      </c>
      <c r="C15">
        <v>4</v>
      </c>
      <c r="D15">
        <v>5</v>
      </c>
      <c r="E15">
        <v>6</v>
      </c>
      <c r="F15">
        <v>7</v>
      </c>
      <c r="G15">
        <v>8</v>
      </c>
      <c r="H15">
        <v>9</v>
      </c>
      <c r="I15">
        <v>10</v>
      </c>
      <c r="J15">
        <v>11</v>
      </c>
      <c r="K15">
        <v>12</v>
      </c>
      <c r="L15">
        <v>13</v>
      </c>
      <c r="M15">
        <v>14</v>
      </c>
      <c r="N15">
        <v>15</v>
      </c>
      <c r="O15">
        <v>16</v>
      </c>
      <c r="P15">
        <v>17</v>
      </c>
      <c r="Q15">
        <v>18</v>
      </c>
      <c r="R15">
        <v>19</v>
      </c>
      <c r="S15">
        <v>20</v>
      </c>
      <c r="T15">
        <v>21</v>
      </c>
      <c r="U15">
        <v>22</v>
      </c>
    </row>
    <row r="16" spans="1:31" x14ac:dyDescent="0.25">
      <c r="A16" t="s">
        <v>1</v>
      </c>
      <c r="B16">
        <f>17/144</f>
        <v>0.11805555555555555</v>
      </c>
      <c r="C16">
        <f>23/144</f>
        <v>0.15972222222222221</v>
      </c>
      <c r="D16">
        <f>32/144</f>
        <v>0.22222222222222221</v>
      </c>
      <c r="E16">
        <f>36/144</f>
        <v>0.25</v>
      </c>
      <c r="F16">
        <f>51/144</f>
        <v>0.35416666666666669</v>
      </c>
      <c r="G16">
        <f>91/144</f>
        <v>0.63194444444444442</v>
      </c>
      <c r="H16">
        <f>93/144</f>
        <v>0.64583333333333337</v>
      </c>
      <c r="I16">
        <f>43/144</f>
        <v>0.2986111111111111</v>
      </c>
      <c r="J16">
        <f>39/20</f>
        <v>1.95</v>
      </c>
      <c r="K16">
        <f>74/20</f>
        <v>3.7</v>
      </c>
      <c r="L16">
        <f>81/144</f>
        <v>0.5625</v>
      </c>
      <c r="M16">
        <f>73/10</f>
        <v>7.3</v>
      </c>
      <c r="N16">
        <f>56/5</f>
        <v>11.2</v>
      </c>
      <c r="O16">
        <f>65/5</f>
        <v>13</v>
      </c>
      <c r="P16">
        <f>96/5</f>
        <v>19.2</v>
      </c>
      <c r="Q16">
        <f>106/5</f>
        <v>21.2</v>
      </c>
      <c r="R16">
        <f>105/3</f>
        <v>35</v>
      </c>
      <c r="S16">
        <f>121/3</f>
        <v>40.333333333333336</v>
      </c>
      <c r="T16">
        <f>98/2</f>
        <v>49</v>
      </c>
      <c r="U16">
        <f>106/2</f>
        <v>53</v>
      </c>
    </row>
    <row r="17" spans="1:21" x14ac:dyDescent="0.25">
      <c r="A17" t="s">
        <v>2</v>
      </c>
      <c r="B17">
        <f>13/144</f>
        <v>9.0277777777777776E-2</v>
      </c>
      <c r="C17">
        <f>25/144</f>
        <v>0.1736111111111111</v>
      </c>
      <c r="D17">
        <f>31/144</f>
        <v>0.21527777777777779</v>
      </c>
      <c r="E17">
        <f>34/144</f>
        <v>0.2361111111111111</v>
      </c>
      <c r="F17">
        <f>49/144</f>
        <v>0.34027777777777779</v>
      </c>
      <c r="G17">
        <f>84/144</f>
        <v>0.58333333333333337</v>
      </c>
      <c r="H17">
        <f>59/42</f>
        <v>1.4047619047619047</v>
      </c>
      <c r="I17">
        <f>50/42</f>
        <v>1.1904761904761905</v>
      </c>
      <c r="J17">
        <f>36/20</f>
        <v>1.8</v>
      </c>
      <c r="K17">
        <f>42/10</f>
        <v>4.2</v>
      </c>
      <c r="L17">
        <f>47/10</f>
        <v>4.7</v>
      </c>
      <c r="M17">
        <f>63/10</f>
        <v>6.3</v>
      </c>
      <c r="N17">
        <f>50/5</f>
        <v>10</v>
      </c>
      <c r="O17">
        <f>57/5</f>
        <v>11.4</v>
      </c>
      <c r="P17">
        <f>90/5</f>
        <v>18</v>
      </c>
      <c r="Q17">
        <f>118/5</f>
        <v>23.6</v>
      </c>
      <c r="R17">
        <f>92/3</f>
        <v>30.666666666666668</v>
      </c>
      <c r="S17">
        <f>115/3</f>
        <v>38.333333333333336</v>
      </c>
      <c r="T17">
        <f>101/2</f>
        <v>50.5</v>
      </c>
      <c r="U17">
        <f>119/2</f>
        <v>59.5</v>
      </c>
    </row>
    <row r="18" spans="1:21" x14ac:dyDescent="0.25">
      <c r="A18" s="1" t="s">
        <v>3</v>
      </c>
      <c r="B18">
        <f>11/144</f>
        <v>7.6388888888888895E-2</v>
      </c>
      <c r="C18">
        <f>20/144</f>
        <v>0.1388888888888889</v>
      </c>
      <c r="D18">
        <f>26/144</f>
        <v>0.18055555555555555</v>
      </c>
      <c r="E18">
        <f>33/144</f>
        <v>0.22916666666666666</v>
      </c>
      <c r="F18">
        <f>62/144</f>
        <v>0.43055555555555558</v>
      </c>
      <c r="G18">
        <f>111/144</f>
        <v>0.77083333333333337</v>
      </c>
      <c r="H18">
        <f>19/20</f>
        <v>0.95</v>
      </c>
      <c r="I18">
        <f>27/20</f>
        <v>1.35</v>
      </c>
      <c r="J18">
        <f>33/10</f>
        <v>3.3</v>
      </c>
      <c r="K18">
        <f>101/5</f>
        <v>20.2</v>
      </c>
      <c r="L18">
        <f>106/3</f>
        <v>35.333333333333336</v>
      </c>
      <c r="M18">
        <f>167/3</f>
        <v>55.666666666666664</v>
      </c>
      <c r="N18">
        <f>129/2</f>
        <v>64.5</v>
      </c>
      <c r="O18">
        <f>182/2</f>
        <v>91</v>
      </c>
      <c r="P18">
        <v>83</v>
      </c>
      <c r="Q18">
        <v>91</v>
      </c>
      <c r="R18">
        <f>164/2</f>
        <v>82</v>
      </c>
      <c r="S18">
        <f>196/2</f>
        <v>98</v>
      </c>
      <c r="T18">
        <f>195/2</f>
        <v>97.5</v>
      </c>
      <c r="U18">
        <f>193/2</f>
        <v>96.5</v>
      </c>
    </row>
    <row r="19" spans="1:21" x14ac:dyDescent="0.25">
      <c r="A19" s="1" t="s">
        <v>4</v>
      </c>
      <c r="B19">
        <f>16/144</f>
        <v>0.1111111111111111</v>
      </c>
      <c r="C19">
        <f>21/144</f>
        <v>0.14583333333333334</v>
      </c>
      <c r="D19">
        <f>25/144</f>
        <v>0.1736111111111111</v>
      </c>
      <c r="E19">
        <f>31/144</f>
        <v>0.21527777777777779</v>
      </c>
      <c r="F19">
        <f>64/144</f>
        <v>0.44444444444444442</v>
      </c>
      <c r="G19">
        <f>76/144</f>
        <v>0.52777777777777779</v>
      </c>
      <c r="H19">
        <f>17/20</f>
        <v>0.85</v>
      </c>
      <c r="I19">
        <f>38/20</f>
        <v>1.9</v>
      </c>
      <c r="J19">
        <f>33/10</f>
        <v>3.3</v>
      </c>
      <c r="K19">
        <f>72/5</f>
        <v>14.4</v>
      </c>
      <c r="L19">
        <f>92/5</f>
        <v>18.399999999999999</v>
      </c>
      <c r="M19">
        <f>190/3</f>
        <v>63.333333333333336</v>
      </c>
      <c r="N19">
        <f>119/2</f>
        <v>59.5</v>
      </c>
      <c r="O19">
        <f>138/2</f>
        <v>69</v>
      </c>
      <c r="P19">
        <v>109</v>
      </c>
      <c r="Q19">
        <v>106</v>
      </c>
      <c r="R19">
        <f>192/2</f>
        <v>96</v>
      </c>
      <c r="S19">
        <f>181/2</f>
        <v>90.5</v>
      </c>
      <c r="T19">
        <f>190/2</f>
        <v>95</v>
      </c>
      <c r="U19">
        <f>187/2</f>
        <v>93.5</v>
      </c>
    </row>
    <row r="21" spans="1:21" x14ac:dyDescent="0.25">
      <c r="B21">
        <v>3</v>
      </c>
      <c r="C21">
        <v>4</v>
      </c>
      <c r="D21">
        <v>5</v>
      </c>
      <c r="E21">
        <v>6</v>
      </c>
      <c r="F21">
        <v>7</v>
      </c>
      <c r="G21">
        <v>8</v>
      </c>
      <c r="H21">
        <v>9</v>
      </c>
      <c r="I21">
        <v>10</v>
      </c>
      <c r="J21">
        <v>11</v>
      </c>
      <c r="K21">
        <v>12</v>
      </c>
      <c r="L21">
        <v>13</v>
      </c>
      <c r="M21">
        <v>14</v>
      </c>
      <c r="N21">
        <v>15</v>
      </c>
      <c r="O21">
        <v>16</v>
      </c>
      <c r="P21">
        <v>17</v>
      </c>
      <c r="Q21">
        <v>18</v>
      </c>
      <c r="R21">
        <v>19</v>
      </c>
      <c r="S21">
        <v>20</v>
      </c>
      <c r="T21">
        <v>21</v>
      </c>
      <c r="U21">
        <v>22</v>
      </c>
    </row>
    <row r="22" spans="1:21" x14ac:dyDescent="0.25">
      <c r="A22" t="s">
        <v>1</v>
      </c>
      <c r="B22">
        <f t="shared" ref="B22:U22" si="4">(B16/4)*(10^6)</f>
        <v>29513.888888888887</v>
      </c>
      <c r="C22">
        <f t="shared" si="4"/>
        <v>39930.555555555555</v>
      </c>
      <c r="D22">
        <f t="shared" si="4"/>
        <v>55555.555555555555</v>
      </c>
      <c r="E22">
        <f t="shared" si="4"/>
        <v>62500</v>
      </c>
      <c r="F22">
        <f t="shared" si="4"/>
        <v>88541.666666666672</v>
      </c>
      <c r="G22">
        <f t="shared" si="4"/>
        <v>157986.11111111109</v>
      </c>
      <c r="H22">
        <f t="shared" si="4"/>
        <v>161458.33333333334</v>
      </c>
      <c r="I22">
        <f t="shared" si="4"/>
        <v>74652.777777777781</v>
      </c>
      <c r="J22">
        <f t="shared" si="4"/>
        <v>487500</v>
      </c>
      <c r="K22">
        <f t="shared" si="4"/>
        <v>925000</v>
      </c>
      <c r="L22">
        <f t="shared" si="4"/>
        <v>140625</v>
      </c>
      <c r="M22">
        <f t="shared" si="4"/>
        <v>1825000</v>
      </c>
      <c r="N22">
        <f t="shared" si="4"/>
        <v>2800000</v>
      </c>
      <c r="O22">
        <f t="shared" si="4"/>
        <v>3250000</v>
      </c>
      <c r="P22">
        <f t="shared" si="4"/>
        <v>4800000</v>
      </c>
      <c r="Q22">
        <f t="shared" si="4"/>
        <v>5300000</v>
      </c>
      <c r="R22">
        <f t="shared" si="4"/>
        <v>8750000</v>
      </c>
      <c r="S22">
        <f t="shared" si="4"/>
        <v>10083333.333333334</v>
      </c>
      <c r="T22">
        <f t="shared" si="4"/>
        <v>12250000</v>
      </c>
      <c r="U22">
        <f t="shared" si="4"/>
        <v>13250000</v>
      </c>
    </row>
    <row r="23" spans="1:21" x14ac:dyDescent="0.25">
      <c r="A23" t="s">
        <v>2</v>
      </c>
      <c r="B23">
        <f t="shared" ref="B23:U23" si="5">(B17/4)*(10^6)</f>
        <v>22569.444444444445</v>
      </c>
      <c r="C23">
        <f t="shared" si="5"/>
        <v>43402.777777777774</v>
      </c>
      <c r="D23">
        <f t="shared" si="5"/>
        <v>53819.444444444445</v>
      </c>
      <c r="E23">
        <f t="shared" si="5"/>
        <v>59027.777777777774</v>
      </c>
      <c r="F23">
        <f t="shared" si="5"/>
        <v>85069.444444444453</v>
      </c>
      <c r="G23">
        <f t="shared" si="5"/>
        <v>145833.33333333334</v>
      </c>
      <c r="H23">
        <f t="shared" si="5"/>
        <v>351190.47619047615</v>
      </c>
      <c r="I23">
        <f t="shared" si="5"/>
        <v>297619.04761904763</v>
      </c>
      <c r="J23">
        <f t="shared" si="5"/>
        <v>450000</v>
      </c>
      <c r="K23">
        <f t="shared" si="5"/>
        <v>1050000</v>
      </c>
      <c r="L23">
        <f t="shared" si="5"/>
        <v>1175000</v>
      </c>
      <c r="M23">
        <f t="shared" si="5"/>
        <v>1575000</v>
      </c>
      <c r="N23">
        <f t="shared" si="5"/>
        <v>2500000</v>
      </c>
      <c r="O23">
        <f t="shared" si="5"/>
        <v>2850000</v>
      </c>
      <c r="P23">
        <f t="shared" si="5"/>
        <v>4500000</v>
      </c>
      <c r="Q23">
        <f t="shared" si="5"/>
        <v>5900000</v>
      </c>
      <c r="R23">
        <f t="shared" si="5"/>
        <v>7666666.666666667</v>
      </c>
      <c r="S23">
        <f t="shared" si="5"/>
        <v>9583333.333333334</v>
      </c>
      <c r="T23">
        <f t="shared" si="5"/>
        <v>12625000</v>
      </c>
      <c r="U23">
        <f t="shared" si="5"/>
        <v>14875000</v>
      </c>
    </row>
    <row r="24" spans="1:21" x14ac:dyDescent="0.25">
      <c r="A24" s="1" t="s">
        <v>3</v>
      </c>
      <c r="B24">
        <f t="shared" ref="B24:U24" si="6">(B18/4)*(10^6)</f>
        <v>19097.222222222223</v>
      </c>
      <c r="C24">
        <f t="shared" si="6"/>
        <v>34722.222222222226</v>
      </c>
      <c r="D24">
        <f t="shared" si="6"/>
        <v>45138.888888888891</v>
      </c>
      <c r="E24">
        <f t="shared" si="6"/>
        <v>57291.666666666664</v>
      </c>
      <c r="F24">
        <f t="shared" si="6"/>
        <v>107638.88888888889</v>
      </c>
      <c r="G24">
        <f t="shared" si="6"/>
        <v>192708.33333333334</v>
      </c>
      <c r="H24">
        <f t="shared" si="6"/>
        <v>237500</v>
      </c>
      <c r="I24">
        <f t="shared" si="6"/>
        <v>337500</v>
      </c>
      <c r="J24">
        <f t="shared" si="6"/>
        <v>825000</v>
      </c>
      <c r="K24">
        <f t="shared" si="6"/>
        <v>5050000</v>
      </c>
      <c r="L24">
        <f t="shared" si="6"/>
        <v>8833333.333333334</v>
      </c>
      <c r="M24">
        <f t="shared" si="6"/>
        <v>13916666.666666666</v>
      </c>
      <c r="N24">
        <f t="shared" si="6"/>
        <v>16125000</v>
      </c>
      <c r="O24">
        <f t="shared" si="6"/>
        <v>22750000</v>
      </c>
      <c r="P24">
        <f t="shared" si="6"/>
        <v>20750000</v>
      </c>
      <c r="Q24">
        <f t="shared" si="6"/>
        <v>22750000</v>
      </c>
      <c r="R24">
        <f t="shared" si="6"/>
        <v>20500000</v>
      </c>
      <c r="S24">
        <f t="shared" si="6"/>
        <v>24500000</v>
      </c>
      <c r="T24">
        <f t="shared" si="6"/>
        <v>24375000</v>
      </c>
      <c r="U24">
        <f t="shared" si="6"/>
        <v>24125000</v>
      </c>
    </row>
    <row r="25" spans="1:21" x14ac:dyDescent="0.25">
      <c r="A25" s="1" t="s">
        <v>4</v>
      </c>
      <c r="B25">
        <f t="shared" ref="B25:U25" si="7">(B19/4)*(10^6)</f>
        <v>27777.777777777777</v>
      </c>
      <c r="C25">
        <f t="shared" si="7"/>
        <v>36458.333333333336</v>
      </c>
      <c r="D25">
        <f t="shared" si="7"/>
        <v>43402.777777777774</v>
      </c>
      <c r="E25">
        <f t="shared" si="7"/>
        <v>53819.444444444445</v>
      </c>
      <c r="F25">
        <f t="shared" si="7"/>
        <v>111111.11111111111</v>
      </c>
      <c r="G25">
        <f t="shared" si="7"/>
        <v>131944.44444444444</v>
      </c>
      <c r="H25">
        <f t="shared" si="7"/>
        <v>212500</v>
      </c>
      <c r="I25">
        <f t="shared" si="7"/>
        <v>475000</v>
      </c>
      <c r="J25">
        <f t="shared" si="7"/>
        <v>825000</v>
      </c>
      <c r="K25">
        <f t="shared" si="7"/>
        <v>3600000</v>
      </c>
      <c r="L25">
        <f t="shared" si="7"/>
        <v>4600000</v>
      </c>
      <c r="M25">
        <f t="shared" si="7"/>
        <v>15833333.333333334</v>
      </c>
      <c r="N25">
        <f t="shared" si="7"/>
        <v>14875000</v>
      </c>
      <c r="O25">
        <f t="shared" si="7"/>
        <v>17250000</v>
      </c>
      <c r="P25">
        <f t="shared" si="7"/>
        <v>27250000</v>
      </c>
      <c r="Q25">
        <f t="shared" si="7"/>
        <v>26500000</v>
      </c>
      <c r="R25">
        <f t="shared" si="7"/>
        <v>24000000</v>
      </c>
      <c r="S25">
        <f t="shared" si="7"/>
        <v>22625000</v>
      </c>
      <c r="T25">
        <f t="shared" si="7"/>
        <v>23750000</v>
      </c>
      <c r="U25">
        <f t="shared" si="7"/>
        <v>23375000</v>
      </c>
    </row>
    <row r="28" spans="1:21" x14ac:dyDescent="0.25">
      <c r="A28" t="s">
        <v>7</v>
      </c>
      <c r="B28">
        <v>3</v>
      </c>
      <c r="C28">
        <v>4</v>
      </c>
      <c r="D28">
        <v>5</v>
      </c>
      <c r="E28">
        <v>6</v>
      </c>
      <c r="F28">
        <v>7</v>
      </c>
      <c r="G28">
        <v>8</v>
      </c>
      <c r="H28">
        <v>9</v>
      </c>
      <c r="I28">
        <v>10</v>
      </c>
      <c r="J28">
        <v>11</v>
      </c>
      <c r="K28">
        <v>12</v>
      </c>
      <c r="L28">
        <v>13</v>
      </c>
      <c r="M28">
        <v>14</v>
      </c>
      <c r="N28">
        <v>15</v>
      </c>
      <c r="O28">
        <v>16</v>
      </c>
      <c r="P28">
        <v>17</v>
      </c>
      <c r="Q28">
        <v>18</v>
      </c>
      <c r="R28">
        <v>19</v>
      </c>
      <c r="S28">
        <v>20</v>
      </c>
      <c r="T28">
        <v>21</v>
      </c>
      <c r="U28">
        <v>22</v>
      </c>
    </row>
    <row r="29" spans="1:21" x14ac:dyDescent="0.25">
      <c r="A29" t="s">
        <v>1</v>
      </c>
      <c r="B29">
        <f>20/20</f>
        <v>1</v>
      </c>
      <c r="C29">
        <f>28/20</f>
        <v>1.4</v>
      </c>
      <c r="D29">
        <f>43/20</f>
        <v>2.15</v>
      </c>
      <c r="E29">
        <f>44/20</f>
        <v>2.2000000000000002</v>
      </c>
      <c r="F29">
        <f>87/20</f>
        <v>4.3499999999999996</v>
      </c>
      <c r="G29">
        <f>102/20</f>
        <v>5.0999999999999996</v>
      </c>
      <c r="H29">
        <f>50/5</f>
        <v>10</v>
      </c>
      <c r="I29">
        <f>64/5</f>
        <v>12.8</v>
      </c>
      <c r="J29">
        <f>97/5</f>
        <v>19.399999999999999</v>
      </c>
      <c r="K29">
        <f>106/3</f>
        <v>35.333333333333336</v>
      </c>
      <c r="L29">
        <f>109/3</f>
        <v>36.333333333333336</v>
      </c>
      <c r="M29">
        <f>147/3</f>
        <v>49</v>
      </c>
      <c r="N29">
        <f>97/2</f>
        <v>48.5</v>
      </c>
      <c r="O29">
        <f>121/2</f>
        <v>60.5</v>
      </c>
      <c r="P29">
        <f>123/2</f>
        <v>61.5</v>
      </c>
      <c r="Q29">
        <f>125/2</f>
        <v>62.5</v>
      </c>
      <c r="R29">
        <f>102/2</f>
        <v>51</v>
      </c>
      <c r="S29">
        <f>110/2</f>
        <v>55</v>
      </c>
      <c r="T29">
        <f>114/2</f>
        <v>57</v>
      </c>
      <c r="U29">
        <f>106/2</f>
        <v>53</v>
      </c>
    </row>
    <row r="30" spans="1:21" x14ac:dyDescent="0.25">
      <c r="A30" t="s">
        <v>2</v>
      </c>
      <c r="B30">
        <f>23/20</f>
        <v>1.1499999999999999</v>
      </c>
      <c r="C30">
        <f>26/20</f>
        <v>1.3</v>
      </c>
      <c r="D30">
        <f>23/20</f>
        <v>1.1499999999999999</v>
      </c>
      <c r="E30">
        <f>45/20</f>
        <v>2.25</v>
      </c>
      <c r="F30">
        <f>98/20</f>
        <v>4.9000000000000004</v>
      </c>
      <c r="G30">
        <f>68/10</f>
        <v>6.8</v>
      </c>
      <c r="H30">
        <f>120/25</f>
        <v>4.8</v>
      </c>
      <c r="I30">
        <f>71/5</f>
        <v>14.2</v>
      </c>
      <c r="J30">
        <f>89/5</f>
        <v>17.8</v>
      </c>
      <c r="K30">
        <f>110/3</f>
        <v>36.666666666666664</v>
      </c>
      <c r="L30">
        <f>120/3</f>
        <v>40</v>
      </c>
      <c r="M30">
        <f>136/3</f>
        <v>45.333333333333336</v>
      </c>
      <c r="N30">
        <f>87/2</f>
        <v>43.5</v>
      </c>
      <c r="O30">
        <f>110/2</f>
        <v>55</v>
      </c>
      <c r="P30">
        <f>139/2</f>
        <v>69.5</v>
      </c>
      <c r="Q30">
        <f>162/2</f>
        <v>81</v>
      </c>
      <c r="R30">
        <f>122/2</f>
        <v>61</v>
      </c>
      <c r="S30">
        <f>127/2</f>
        <v>63.5</v>
      </c>
      <c r="T30">
        <f>128/2</f>
        <v>64</v>
      </c>
      <c r="U30">
        <f>120/2</f>
        <v>60</v>
      </c>
    </row>
    <row r="31" spans="1:21" x14ac:dyDescent="0.25">
      <c r="A31" s="1" t="s">
        <v>3</v>
      </c>
      <c r="B31">
        <f>18/20</f>
        <v>0.9</v>
      </c>
      <c r="C31">
        <f>25/20</f>
        <v>1.25</v>
      </c>
      <c r="D31">
        <f>31/20</f>
        <v>1.55</v>
      </c>
      <c r="E31">
        <f>33/10</f>
        <v>3.3</v>
      </c>
      <c r="F31">
        <f>84/20</f>
        <v>4.2</v>
      </c>
      <c r="G31">
        <f>72/10</f>
        <v>7.2</v>
      </c>
      <c r="H31">
        <f>58/5</f>
        <v>11.6</v>
      </c>
      <c r="I31">
        <f>104/5</f>
        <v>20.8</v>
      </c>
      <c r="J31">
        <f>135/5</f>
        <v>27</v>
      </c>
      <c r="K31">
        <f>209/3</f>
        <v>69.666666666666671</v>
      </c>
      <c r="L31">
        <f>237/3</f>
        <v>79</v>
      </c>
      <c r="M31">
        <f>249/3</f>
        <v>83</v>
      </c>
      <c r="N31">
        <f>138/2</f>
        <v>69</v>
      </c>
      <c r="O31">
        <f>186/2</f>
        <v>93</v>
      </c>
      <c r="P31">
        <f>198/2</f>
        <v>99</v>
      </c>
      <c r="Q31">
        <f>207/2</f>
        <v>103.5</v>
      </c>
      <c r="R31">
        <f>199/2</f>
        <v>99.5</v>
      </c>
      <c r="S31">
        <f>188/2</f>
        <v>94</v>
      </c>
      <c r="T31">
        <f>194/2</f>
        <v>97</v>
      </c>
      <c r="U31">
        <f>226/2</f>
        <v>113</v>
      </c>
    </row>
    <row r="32" spans="1:21" x14ac:dyDescent="0.25">
      <c r="A32" s="1" t="s">
        <v>4</v>
      </c>
      <c r="B32">
        <f>17/20</f>
        <v>0.85</v>
      </c>
      <c r="C32">
        <f>26/20</f>
        <v>1.3</v>
      </c>
      <c r="D32">
        <f>24/20</f>
        <v>1.2</v>
      </c>
      <c r="E32">
        <f>25/10</f>
        <v>2.5</v>
      </c>
      <c r="F32">
        <f>87/20</f>
        <v>4.3499999999999996</v>
      </c>
      <c r="G32">
        <f>85/10</f>
        <v>8.5</v>
      </c>
      <c r="H32">
        <f>55/5</f>
        <v>11</v>
      </c>
      <c r="I32">
        <f>130/5</f>
        <v>26</v>
      </c>
      <c r="J32">
        <f>172/5</f>
        <v>34.4</v>
      </c>
      <c r="K32">
        <f>181/3</f>
        <v>60.333333333333336</v>
      </c>
      <c r="L32">
        <f>188/3</f>
        <v>62.666666666666664</v>
      </c>
      <c r="M32">
        <f>246/3</f>
        <v>82</v>
      </c>
      <c r="N32">
        <f>180/2</f>
        <v>90</v>
      </c>
      <c r="O32">
        <f>196/2</f>
        <v>98</v>
      </c>
      <c r="P32">
        <f>202/2</f>
        <v>101</v>
      </c>
      <c r="Q32">
        <f>266/2</f>
        <v>133</v>
      </c>
      <c r="R32">
        <f>244/2</f>
        <v>122</v>
      </c>
      <c r="S32">
        <f>249/2</f>
        <v>124.5</v>
      </c>
      <c r="T32">
        <f>237/2</f>
        <v>118.5</v>
      </c>
      <c r="U32">
        <f>351/2</f>
        <v>175.5</v>
      </c>
    </row>
    <row r="34" spans="1:21" x14ac:dyDescent="0.25">
      <c r="B34">
        <v>3</v>
      </c>
      <c r="C34">
        <v>4</v>
      </c>
      <c r="D34">
        <v>5</v>
      </c>
      <c r="E34">
        <v>6</v>
      </c>
      <c r="F34">
        <v>7</v>
      </c>
      <c r="G34">
        <v>8</v>
      </c>
      <c r="H34">
        <v>9</v>
      </c>
      <c r="I34">
        <v>10</v>
      </c>
      <c r="J34">
        <v>11</v>
      </c>
      <c r="K34">
        <v>12</v>
      </c>
      <c r="L34">
        <v>13</v>
      </c>
      <c r="M34">
        <v>14</v>
      </c>
      <c r="N34">
        <v>15</v>
      </c>
      <c r="O34">
        <v>16</v>
      </c>
      <c r="P34">
        <v>17</v>
      </c>
      <c r="Q34">
        <v>18</v>
      </c>
      <c r="R34">
        <v>19</v>
      </c>
      <c r="S34">
        <v>20</v>
      </c>
      <c r="T34">
        <v>21</v>
      </c>
      <c r="U34">
        <v>22</v>
      </c>
    </row>
    <row r="35" spans="1:21" x14ac:dyDescent="0.25">
      <c r="A35" t="s">
        <v>1</v>
      </c>
      <c r="B35">
        <f>(B29/4)*(10^6)</f>
        <v>250000</v>
      </c>
      <c r="C35">
        <f t="shared" ref="C35:U38" si="8">(C29/4)*(10^6)</f>
        <v>350000</v>
      </c>
      <c r="D35">
        <f t="shared" si="8"/>
        <v>537500</v>
      </c>
      <c r="E35">
        <f t="shared" si="8"/>
        <v>550000</v>
      </c>
      <c r="F35">
        <f t="shared" si="8"/>
        <v>1087500</v>
      </c>
      <c r="G35">
        <f t="shared" si="8"/>
        <v>1275000</v>
      </c>
      <c r="H35">
        <f t="shared" si="8"/>
        <v>2500000</v>
      </c>
      <c r="I35">
        <f t="shared" si="8"/>
        <v>3200000</v>
      </c>
      <c r="J35">
        <f t="shared" si="8"/>
        <v>4850000</v>
      </c>
      <c r="K35">
        <f t="shared" si="8"/>
        <v>8833333.333333334</v>
      </c>
      <c r="L35">
        <f t="shared" si="8"/>
        <v>9083333.333333334</v>
      </c>
      <c r="M35">
        <f t="shared" si="8"/>
        <v>12250000</v>
      </c>
      <c r="N35">
        <f t="shared" si="8"/>
        <v>12125000</v>
      </c>
      <c r="O35">
        <f t="shared" si="8"/>
        <v>15125000</v>
      </c>
      <c r="P35">
        <f t="shared" si="8"/>
        <v>15375000</v>
      </c>
      <c r="Q35">
        <f t="shared" si="8"/>
        <v>15625000</v>
      </c>
      <c r="R35">
        <f t="shared" si="8"/>
        <v>12750000</v>
      </c>
      <c r="S35">
        <f t="shared" si="8"/>
        <v>13750000</v>
      </c>
      <c r="T35">
        <f t="shared" si="8"/>
        <v>14250000</v>
      </c>
      <c r="U35">
        <f t="shared" si="8"/>
        <v>13250000</v>
      </c>
    </row>
    <row r="36" spans="1:21" x14ac:dyDescent="0.25">
      <c r="A36" t="s">
        <v>2</v>
      </c>
      <c r="B36">
        <f t="shared" ref="B36:Q38" si="9">(B30/4)*(10^6)</f>
        <v>287500</v>
      </c>
      <c r="C36">
        <f t="shared" si="9"/>
        <v>325000</v>
      </c>
      <c r="D36">
        <f t="shared" si="9"/>
        <v>287500</v>
      </c>
      <c r="E36">
        <f t="shared" si="9"/>
        <v>562500</v>
      </c>
      <c r="F36">
        <f t="shared" si="9"/>
        <v>1225000</v>
      </c>
      <c r="G36">
        <f t="shared" si="9"/>
        <v>1700000</v>
      </c>
      <c r="H36">
        <f t="shared" si="9"/>
        <v>1200000</v>
      </c>
      <c r="I36">
        <f t="shared" si="9"/>
        <v>3550000</v>
      </c>
      <c r="J36">
        <f t="shared" si="9"/>
        <v>4450000</v>
      </c>
      <c r="K36">
        <f t="shared" si="9"/>
        <v>9166666.666666666</v>
      </c>
      <c r="L36">
        <f t="shared" si="9"/>
        <v>10000000</v>
      </c>
      <c r="M36">
        <f t="shared" si="9"/>
        <v>11333333.333333334</v>
      </c>
      <c r="N36">
        <f t="shared" si="9"/>
        <v>10875000</v>
      </c>
      <c r="O36">
        <f t="shared" si="9"/>
        <v>13750000</v>
      </c>
      <c r="P36">
        <f t="shared" si="9"/>
        <v>17375000</v>
      </c>
      <c r="Q36">
        <f t="shared" si="9"/>
        <v>20250000</v>
      </c>
      <c r="R36">
        <f t="shared" si="8"/>
        <v>15250000</v>
      </c>
      <c r="S36">
        <f t="shared" si="8"/>
        <v>15875000</v>
      </c>
      <c r="T36">
        <f t="shared" si="8"/>
        <v>16000000</v>
      </c>
      <c r="U36">
        <f t="shared" si="8"/>
        <v>15000000</v>
      </c>
    </row>
    <row r="37" spans="1:21" x14ac:dyDescent="0.25">
      <c r="A37" s="1" t="s">
        <v>3</v>
      </c>
      <c r="B37">
        <f t="shared" si="9"/>
        <v>225000</v>
      </c>
      <c r="C37">
        <f t="shared" si="8"/>
        <v>312500</v>
      </c>
      <c r="D37">
        <f t="shared" si="8"/>
        <v>387500</v>
      </c>
      <c r="E37">
        <f t="shared" si="8"/>
        <v>825000</v>
      </c>
      <c r="F37">
        <f t="shared" si="8"/>
        <v>1050000</v>
      </c>
      <c r="G37">
        <f t="shared" si="8"/>
        <v>1800000</v>
      </c>
      <c r="H37">
        <f t="shared" si="8"/>
        <v>2900000</v>
      </c>
      <c r="I37">
        <f t="shared" si="8"/>
        <v>5200000</v>
      </c>
      <c r="J37">
        <f t="shared" si="8"/>
        <v>6750000</v>
      </c>
      <c r="K37">
        <f t="shared" si="8"/>
        <v>17416666.666666668</v>
      </c>
      <c r="L37">
        <f t="shared" si="8"/>
        <v>19750000</v>
      </c>
      <c r="M37">
        <f t="shared" si="8"/>
        <v>20750000</v>
      </c>
      <c r="N37">
        <f t="shared" si="8"/>
        <v>17250000</v>
      </c>
      <c r="O37">
        <f t="shared" si="8"/>
        <v>23250000</v>
      </c>
      <c r="P37">
        <f t="shared" si="8"/>
        <v>24750000</v>
      </c>
      <c r="Q37">
        <f t="shared" si="8"/>
        <v>25875000</v>
      </c>
      <c r="R37">
        <f t="shared" si="8"/>
        <v>24875000</v>
      </c>
      <c r="S37">
        <f t="shared" si="8"/>
        <v>23500000</v>
      </c>
      <c r="T37">
        <f t="shared" si="8"/>
        <v>24250000</v>
      </c>
      <c r="U37">
        <f t="shared" si="8"/>
        <v>28250000</v>
      </c>
    </row>
    <row r="38" spans="1:21" x14ac:dyDescent="0.25">
      <c r="A38" s="1" t="s">
        <v>4</v>
      </c>
      <c r="B38">
        <f t="shared" si="9"/>
        <v>212500</v>
      </c>
      <c r="C38">
        <f t="shared" si="8"/>
        <v>325000</v>
      </c>
      <c r="D38">
        <f t="shared" si="8"/>
        <v>300000</v>
      </c>
      <c r="E38">
        <f t="shared" si="8"/>
        <v>625000</v>
      </c>
      <c r="F38">
        <f t="shared" si="8"/>
        <v>1087500</v>
      </c>
      <c r="G38">
        <f t="shared" si="8"/>
        <v>2125000</v>
      </c>
      <c r="H38">
        <f t="shared" si="8"/>
        <v>2750000</v>
      </c>
      <c r="I38">
        <f t="shared" si="8"/>
        <v>6500000</v>
      </c>
      <c r="J38">
        <f t="shared" si="8"/>
        <v>8600000</v>
      </c>
      <c r="K38">
        <f t="shared" si="8"/>
        <v>15083333.333333334</v>
      </c>
      <c r="L38">
        <f t="shared" si="8"/>
        <v>15666666.666666666</v>
      </c>
      <c r="M38">
        <f t="shared" si="8"/>
        <v>20500000</v>
      </c>
      <c r="N38">
        <f t="shared" si="8"/>
        <v>22500000</v>
      </c>
      <c r="O38">
        <f t="shared" si="8"/>
        <v>24500000</v>
      </c>
      <c r="P38">
        <f t="shared" si="8"/>
        <v>25250000</v>
      </c>
      <c r="Q38">
        <f t="shared" si="8"/>
        <v>33250000</v>
      </c>
      <c r="R38">
        <f t="shared" si="8"/>
        <v>30500000</v>
      </c>
      <c r="S38">
        <f t="shared" si="8"/>
        <v>31125000</v>
      </c>
      <c r="T38">
        <f t="shared" si="8"/>
        <v>29625000</v>
      </c>
      <c r="U38">
        <f t="shared" si="8"/>
        <v>43875000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Iowa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Kockler, Zachary W</dc:creator>
  <cp:lastModifiedBy>Kockler, Zachary W</cp:lastModifiedBy>
  <dcterms:created xsi:type="dcterms:W3CDTF">2017-08-23T18:34:29Z</dcterms:created>
  <dcterms:modified xsi:type="dcterms:W3CDTF">2019-07-31T21:25:57Z</dcterms:modified>
</cp:coreProperties>
</file>