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lionel/Documents/workflow/github/zyme-dev/MARlette/assets/"/>
    </mc:Choice>
  </mc:AlternateContent>
  <xr:revisionPtr revIDLastSave="0" documentId="13_ncr:1_{EB41DE6B-E9DA-5D43-9631-A1F820137D82}" xr6:coauthVersionLast="47" xr6:coauthVersionMax="47" xr10:uidLastSave="{00000000-0000-0000-0000-000000000000}"/>
  <bookViews>
    <workbookView xWindow="0" yWindow="760" windowWidth="29040" windowHeight="15840" tabRatio="732" firstSheet="2" activeTab="7" xr2:uid="{00000000-000D-0000-FFFF-FFFF00000000}"/>
  </bookViews>
  <sheets>
    <sheet name="Suivi" sheetId="8" r:id="rId1"/>
    <sheet name="Paramètres" sheetId="9" r:id="rId2"/>
    <sheet name="TPL - plan de financement" sheetId="2" r:id="rId3"/>
    <sheet name="TPL - grille analyse" sheetId="7" r:id="rId4"/>
    <sheet name="TPL - attest CEE" sheetId="3" r:id="rId5"/>
    <sheet name="TPL - attest travaux (devis)" sheetId="4" r:id="rId6"/>
    <sheet name="TPL - attest travaux (fact)" sheetId="5" r:id="rId7"/>
    <sheet name="TPL - contrat AMO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6" l="1"/>
  <c r="C19" i="6"/>
  <c r="C18" i="6"/>
  <c r="C17" i="6"/>
  <c r="C14" i="6"/>
  <c r="C13" i="6"/>
  <c r="B36" i="8"/>
  <c r="C15" i="6" s="1"/>
  <c r="B4" i="8"/>
  <c r="B2" i="7" s="1"/>
  <c r="N21" i="8"/>
  <c r="M10" i="8"/>
  <c r="N10" i="8"/>
  <c r="E29" i="8"/>
  <c r="E23" i="4" s="1"/>
  <c r="C23" i="6"/>
  <c r="C6" i="3"/>
  <c r="C14" i="2"/>
  <c r="C11" i="6"/>
  <c r="C10" i="6"/>
  <c r="C8" i="6"/>
  <c r="C7" i="6"/>
  <c r="C6" i="6"/>
  <c r="C5" i="6"/>
  <c r="C68" i="4"/>
  <c r="C75" i="4"/>
  <c r="C74" i="4"/>
  <c r="E47" i="4"/>
  <c r="F47" i="4"/>
  <c r="E48" i="4"/>
  <c r="F48" i="4"/>
  <c r="E49" i="4"/>
  <c r="F49" i="4"/>
  <c r="E50" i="4"/>
  <c r="F50" i="4"/>
  <c r="E51" i="4"/>
  <c r="F51" i="4"/>
  <c r="E52" i="4"/>
  <c r="F52" i="4"/>
  <c r="F46" i="4"/>
  <c r="E46" i="4"/>
  <c r="C43" i="4"/>
  <c r="C44" i="4"/>
  <c r="C51" i="4" s="1"/>
  <c r="C45" i="4"/>
  <c r="C52" i="4" s="1"/>
  <c r="C40" i="4"/>
  <c r="C41" i="4"/>
  <c r="C48" i="4" s="1"/>
  <c r="C42" i="4"/>
  <c r="C39" i="4"/>
  <c r="E33" i="4"/>
  <c r="C32" i="4"/>
  <c r="E31" i="4"/>
  <c r="E30" i="4"/>
  <c r="E29" i="4"/>
  <c r="C28" i="4"/>
  <c r="E26" i="4"/>
  <c r="C25" i="4"/>
  <c r="E24" i="4"/>
  <c r="E22" i="4"/>
  <c r="C20" i="4"/>
  <c r="C19" i="4"/>
  <c r="C18" i="4"/>
  <c r="E15" i="4"/>
  <c r="C17" i="4" s="1"/>
  <c r="C10" i="4"/>
  <c r="C9" i="4"/>
  <c r="C8" i="4"/>
  <c r="C7" i="4"/>
  <c r="C5" i="4"/>
  <c r="C65" i="4" s="1"/>
  <c r="C10" i="3"/>
  <c r="C8" i="3"/>
  <c r="C5" i="3"/>
  <c r="C13" i="7"/>
  <c r="C12" i="7"/>
  <c r="C11" i="7"/>
  <c r="C9" i="7"/>
  <c r="C10" i="7"/>
  <c r="C8" i="7"/>
  <c r="C7" i="7"/>
  <c r="C5" i="7"/>
  <c r="B5" i="8"/>
  <c r="E39" i="2" s="1"/>
  <c r="C39" i="2" s="1"/>
  <c r="C5" i="2"/>
  <c r="C9" i="2"/>
  <c r="C10" i="2"/>
  <c r="C11" i="2"/>
  <c r="C8" i="2"/>
  <c r="C15" i="2"/>
  <c r="C13" i="2"/>
  <c r="C38" i="2" s="1"/>
  <c r="C12" i="2"/>
  <c r="C7" i="2"/>
  <c r="C47" i="4" l="1"/>
  <c r="B2" i="6"/>
  <c r="C46" i="4"/>
  <c r="C24" i="6"/>
  <c r="C22" i="6"/>
  <c r="C7" i="3" a="1"/>
  <c r="C7" i="3" s="1"/>
  <c r="B2" i="3"/>
  <c r="B2" i="4"/>
  <c r="C50" i="4"/>
  <c r="B2" i="5"/>
  <c r="C49" i="4"/>
  <c r="B2" i="2"/>
  <c r="C9" i="6"/>
  <c r="C15" i="4"/>
  <c r="C16" i="4"/>
  <c r="E62" i="4"/>
  <c r="E69" i="4" s="1"/>
  <c r="C71" i="4" s="1"/>
  <c r="C11" i="3"/>
  <c r="C36" i="7"/>
  <c r="C41" i="2"/>
  <c r="C40" i="2"/>
  <c r="C69" i="4" l="1"/>
  <c r="C69" i="5" s="1"/>
  <c r="C70" i="4"/>
  <c r="C64" i="4"/>
  <c r="C63" i="4"/>
  <c r="C62" i="4"/>
  <c r="C6" i="2" l="1"/>
  <c r="C37" i="2" s="1"/>
  <c r="E34" i="2"/>
  <c r="E32" i="2"/>
  <c r="E31" i="2"/>
  <c r="E30" i="2"/>
  <c r="E29" i="2"/>
  <c r="E28" i="2"/>
  <c r="E27" i="2"/>
  <c r="E26" i="2"/>
  <c r="E22" i="2"/>
  <c r="E19" i="2"/>
  <c r="E18" i="2"/>
  <c r="M11" i="8"/>
  <c r="N11" i="8"/>
  <c r="M12" i="8"/>
  <c r="N12" i="8"/>
  <c r="E45" i="8"/>
  <c r="L10" i="9"/>
  <c r="O10" i="9" s="1"/>
  <c r="L13" i="9"/>
  <c r="E47" i="8"/>
  <c r="E48" i="8"/>
  <c r="E46" i="8"/>
  <c r="N8" i="8"/>
  <c r="M8" i="8"/>
  <c r="N7" i="8"/>
  <c r="M7" i="8"/>
  <c r="N6" i="8"/>
  <c r="M6" i="8"/>
  <c r="E44" i="8"/>
  <c r="B35" i="8"/>
  <c r="C72" i="4" s="1"/>
  <c r="S16" i="9" l="1"/>
  <c r="E35" i="4"/>
  <c r="P12" i="9"/>
  <c r="M10" i="9"/>
  <c r="N10" i="9"/>
  <c r="O12" i="9" s="1"/>
  <c r="L13" i="8"/>
  <c r="N9" i="8"/>
  <c r="N13" i="8" s="1"/>
  <c r="M9" i="8"/>
  <c r="M13" i="8" s="1"/>
  <c r="K13" i="8"/>
  <c r="N18" i="8" l="1"/>
  <c r="M17" i="8"/>
  <c r="E12" i="4" s="1"/>
  <c r="C12" i="4" s="1"/>
  <c r="M18" i="8"/>
  <c r="M22" i="8"/>
  <c r="E20" i="2" s="1"/>
  <c r="C37" i="4"/>
  <c r="C36" i="4"/>
  <c r="C35" i="4"/>
  <c r="N17" i="8"/>
  <c r="N12" i="9"/>
  <c r="M12" i="9"/>
  <c r="E17" i="2" l="1"/>
  <c r="L16" i="9"/>
  <c r="E13" i="4"/>
  <c r="C13" i="4" s="1"/>
  <c r="N22" i="8"/>
  <c r="E21" i="2" s="1"/>
  <c r="C30" i="4"/>
  <c r="C50" i="5"/>
  <c r="C49" i="5"/>
  <c r="F34" i="2"/>
  <c r="C34" i="2" s="1"/>
  <c r="F19" i="2"/>
  <c r="C19" i="2" s="1"/>
  <c r="F22" i="2"/>
  <c r="C22" i="2" s="1"/>
  <c r="F25" i="2"/>
  <c r="C25" i="2" s="1"/>
  <c r="F29" i="2"/>
  <c r="C29" i="2" s="1"/>
  <c r="F30" i="2"/>
  <c r="C30" i="2" s="1"/>
  <c r="F31" i="2"/>
  <c r="C31" i="2" s="1"/>
  <c r="F32" i="2"/>
  <c r="C32" i="2" s="1"/>
  <c r="F28" i="2"/>
  <c r="C28" i="2" s="1"/>
  <c r="F27" i="2"/>
  <c r="C27" i="2" s="1"/>
  <c r="F26" i="2"/>
  <c r="C26" i="2" s="1"/>
  <c r="F18" i="2"/>
  <c r="C18" i="2" s="1"/>
  <c r="C17" i="5"/>
  <c r="C16" i="5"/>
  <c r="C15" i="5"/>
  <c r="C75" i="5"/>
  <c r="C66" i="5"/>
  <c r="C31" i="4"/>
  <c r="C29" i="4"/>
  <c r="C32" i="5"/>
  <c r="C33" i="4"/>
  <c r="C28" i="5"/>
  <c r="C26" i="4"/>
  <c r="C25" i="5"/>
  <c r="C23" i="4"/>
  <c r="C22" i="4"/>
  <c r="C73" i="5"/>
  <c r="C59" i="5"/>
  <c r="C58" i="5"/>
  <c r="C57" i="5"/>
  <c r="C56" i="5"/>
  <c r="C55" i="5"/>
  <c r="C54" i="5"/>
  <c r="C47" i="5"/>
  <c r="C48" i="5"/>
  <c r="C51" i="5"/>
  <c r="C52" i="5"/>
  <c r="C46" i="5"/>
  <c r="C40" i="5"/>
  <c r="C41" i="5"/>
  <c r="C42" i="5"/>
  <c r="C43" i="5"/>
  <c r="C44" i="5"/>
  <c r="C45" i="5"/>
  <c r="C39" i="5"/>
  <c r="C68" i="5"/>
  <c r="C72" i="5"/>
  <c r="C74" i="5"/>
  <c r="C20" i="5"/>
  <c r="C19" i="5"/>
  <c r="C18" i="5"/>
  <c r="C21" i="6"/>
  <c r="C65" i="5"/>
  <c r="C8" i="5"/>
  <c r="C9" i="5"/>
  <c r="C10" i="5"/>
  <c r="C7" i="5"/>
  <c r="C5" i="5"/>
  <c r="F17" i="2"/>
  <c r="C17" i="2" s="1"/>
  <c r="C12" i="5" l="1"/>
  <c r="C33" i="5"/>
  <c r="C24" i="4"/>
  <c r="C24" i="5" s="1"/>
  <c r="C23" i="5"/>
  <c r="C26" i="5"/>
  <c r="C29" i="5"/>
  <c r="C30" i="5"/>
  <c r="C31" i="5"/>
  <c r="C22" i="5"/>
  <c r="C13" i="5"/>
  <c r="C64" i="5"/>
  <c r="C63" i="5"/>
  <c r="C62" i="5"/>
  <c r="C71" i="5"/>
  <c r="C70" i="5"/>
  <c r="C37" i="5"/>
  <c r="C35" i="5"/>
  <c r="C36" i="5"/>
  <c r="C61" i="4"/>
  <c r="C61" i="5" s="1"/>
  <c r="F21" i="2" l="1"/>
  <c r="C21" i="2" s="1"/>
  <c r="F20" i="2" l="1"/>
  <c r="C20" i="2" s="1"/>
  <c r="R16" i="9" l="1"/>
  <c r="W16" i="9" s="1" a="1"/>
  <c r="W16" i="9" s="1"/>
  <c r="N27" i="8" s="1"/>
  <c r="B26" i="8" l="1"/>
  <c r="T16" i="9" a="1"/>
  <c r="T16" i="9" s="1"/>
  <c r="V16" i="9" a="1"/>
  <c r="V16" i="9" s="1"/>
  <c r="L26" i="8" s="1"/>
  <c r="U16" i="9" a="1"/>
  <c r="U16" i="9" s="1"/>
  <c r="K26" i="8" l="1"/>
  <c r="N26" i="8" s="1"/>
  <c r="N25" i="8" s="1"/>
  <c r="N37" i="8" l="1"/>
  <c r="E24" i="2"/>
  <c r="F24" i="2" s="1"/>
  <c r="C24" i="2" s="1"/>
  <c r="N41" i="8"/>
  <c r="E23" i="2" s="1"/>
  <c r="F23" i="2" s="1"/>
  <c r="C23" i="2" s="1"/>
  <c r="E33" i="2" l="1"/>
  <c r="F33" i="2" s="1"/>
  <c r="C33" i="2" s="1"/>
  <c r="N45" i="8"/>
  <c r="E35" i="2" l="1"/>
  <c r="F35" i="2" s="1"/>
  <c r="C35" i="2" s="1"/>
  <c r="N4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Lionel du Peloux</author>
  </authors>
  <commentList>
    <comment ref="T16" authorId="0" shapeId="0" xr:uid="{FAAD5B7F-34EC-4C68-82F8-CCFC089CDAF4}">
      <text>
        <r>
          <rPr>
            <b/>
            <sz val="9"/>
            <color indexed="81"/>
            <rFont val="Tahoma"/>
            <family val="2"/>
          </rPr>
          <t>Lionel du Peloux:
Formule matricielle :
valider la cellule par MAJ + Enter
Pour comprenre la formule</t>
        </r>
        <r>
          <rPr>
            <sz val="9"/>
            <color indexed="81"/>
            <rFont val="Tahoma"/>
            <family val="2"/>
          </rPr>
          <t xml:space="preserve">
https://www.bonbache.fr/recherchev-sur-plusieurs-colonnes-avec-excel-921.html</t>
        </r>
      </text>
    </comment>
  </commentList>
</comments>
</file>

<file path=xl/sharedStrings.xml><?xml version="1.0" encoding="utf-8"?>
<sst xmlns="http://schemas.openxmlformats.org/spreadsheetml/2006/main" count="745" uniqueCount="426">
  <si>
    <t>Demandeur</t>
  </si>
  <si>
    <t>Nom</t>
  </si>
  <si>
    <t>Prénom</t>
  </si>
  <si>
    <t>Adresse</t>
  </si>
  <si>
    <t>Voie</t>
  </si>
  <si>
    <t>Batiment</t>
  </si>
  <si>
    <t>Etage</t>
  </si>
  <si>
    <t>Porte</t>
  </si>
  <si>
    <t>Escalier</t>
  </si>
  <si>
    <t>Code Postal</t>
  </si>
  <si>
    <t>Commune</t>
  </si>
  <si>
    <t>Téléphone</t>
  </si>
  <si>
    <t>Email</t>
  </si>
  <si>
    <t>Dossier ANAH</t>
  </si>
  <si>
    <t>Audit</t>
  </si>
  <si>
    <t>Raison MAR</t>
  </si>
  <si>
    <t>Siret MAR</t>
  </si>
  <si>
    <t>Accompagnateur (MAR)</t>
  </si>
  <si>
    <t>Etat Initial</t>
  </si>
  <si>
    <t>Etat Projeté</t>
  </si>
  <si>
    <t>Sref</t>
  </si>
  <si>
    <t>Etiquette</t>
  </si>
  <si>
    <t>Signature</t>
  </si>
  <si>
    <t>Prénom MAR</t>
  </si>
  <si>
    <t>Nom MAR</t>
  </si>
  <si>
    <t>TOTAL</t>
  </si>
  <si>
    <t>HT</t>
  </si>
  <si>
    <t>TTC</t>
  </si>
  <si>
    <r>
      <t>CEP  (kWh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/m²/an)</t>
    </r>
  </si>
  <si>
    <r>
      <t>CEF (kWh</t>
    </r>
    <r>
      <rPr>
        <vertAlign val="subscript"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>/m²/an)</t>
    </r>
  </si>
  <si>
    <r>
      <t>EGES (kgCO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/m2/an)</t>
    </r>
  </si>
  <si>
    <t>N°</t>
  </si>
  <si>
    <t>Bâtiment</t>
  </si>
  <si>
    <t>Tél</t>
  </si>
  <si>
    <t>Mél</t>
  </si>
  <si>
    <t>Coût total des travaux à réaliser</t>
  </si>
  <si>
    <t>Honoraires d’assistance à maîtrise d’ouvrage</t>
  </si>
  <si>
    <t>Honoraires de maîtrise d’œuvre</t>
  </si>
  <si>
    <t xml:space="preserve">Montant total des dépenses HT </t>
  </si>
  <si>
    <t>Montant total des dépenses TTC</t>
  </si>
  <si>
    <t>Prêt bancaire</t>
  </si>
  <si>
    <t xml:space="preserve">Apport de fonds personnels </t>
  </si>
  <si>
    <t xml:space="preserve">Aide de l’Anah </t>
  </si>
  <si>
    <t>Aide du FART (programme "Habiter Mieux")</t>
  </si>
  <si>
    <t>Commune ou établissement public de coopération intercommunale</t>
  </si>
  <si>
    <t>Département</t>
  </si>
  <si>
    <t>Région</t>
  </si>
  <si>
    <t>Union européenne</t>
  </si>
  <si>
    <t>Caisses de retraite - régime de bas</t>
  </si>
  <si>
    <t>Caisses de retraite complémentaires obligatoire</t>
  </si>
  <si>
    <t>Autre aide publique (ADEME, Agence de l’eau …)</t>
  </si>
  <si>
    <t>Total des aides publiques</t>
  </si>
  <si>
    <t>Autres aides</t>
  </si>
  <si>
    <t>Total des ressources</t>
  </si>
  <si>
    <t>Fait à</t>
  </si>
  <si>
    <t>Fait le</t>
  </si>
  <si>
    <t xml:space="preserve">Je soussigné(e), nom et prénom </t>
  </si>
  <si>
    <t>Numéro de dossier</t>
  </si>
  <si>
    <t>Adresse du logement à rénover</t>
  </si>
  <si>
    <t>Identité du demandeur</t>
  </si>
  <si>
    <t>Financement des travaux</t>
  </si>
  <si>
    <t>Signature demandeur</t>
  </si>
  <si>
    <t xml:space="preserve">NOM, Prénom(s) du demandeur </t>
  </si>
  <si>
    <t>Ville</t>
  </si>
  <si>
    <t>Coût total des travaux éligibles (HT)</t>
  </si>
  <si>
    <t>Coût total des travaux éligibles (TTC)</t>
  </si>
  <si>
    <t xml:space="preserve">Identifiant de l’audit énergétique (n°) </t>
  </si>
  <si>
    <t>Situation initiale du logement (« avant travaux »)</t>
  </si>
  <si>
    <t xml:space="preserve">Classe de performance énergétique (de A à G) </t>
  </si>
  <si>
    <t xml:space="preserve">Surface de référence du logement en m² </t>
  </si>
  <si>
    <t>Situation du logement projetée dans le scénario de travaux retenu (« après travaux »)</t>
  </si>
  <si>
    <t>Référence ou n° du scénario retenu</t>
  </si>
  <si>
    <t>Consommation annuelle d’énergie primaire (kWh/m²/an)</t>
  </si>
  <si>
    <t>Consommation annuelle d’énergie finale (kWh/m²/an)</t>
  </si>
  <si>
    <r>
      <t>Emissions annuelles de gaz à effet de serre (kgCO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eq/m2/an )</t>
    </r>
  </si>
  <si>
    <t>Gain de classes de performance énergétique associé au projet de travaux</t>
  </si>
  <si>
    <t>Gain de 2 classes</t>
  </si>
  <si>
    <t>Gain de 3 classes</t>
  </si>
  <si>
    <t>Gain de 4 classes ou plus</t>
  </si>
  <si>
    <t>travaux_1_description</t>
  </si>
  <si>
    <t>travaux_1_cout_ht_ttc</t>
  </si>
  <si>
    <t>1. description poste de travaux</t>
  </si>
  <si>
    <t>1. coût des travaux en €HT / €TTC</t>
  </si>
  <si>
    <t>2. description poste de travaux</t>
  </si>
  <si>
    <t>2. coût des travaux en €HT / €TTC</t>
  </si>
  <si>
    <t>3. description poste de travaux</t>
  </si>
  <si>
    <t>3. coût des travaux en €HT / €TTC</t>
  </si>
  <si>
    <t>4. description poste de travaux</t>
  </si>
  <si>
    <t>4. coût des travaux en €HT / €TTC</t>
  </si>
  <si>
    <t>5. description poste de travaux</t>
  </si>
  <si>
    <t>5. coût des travaux en €HT / €TTC</t>
  </si>
  <si>
    <t>6. description poste de travaux</t>
  </si>
  <si>
    <t>6. coût des travaux en €HT / €TTC</t>
  </si>
  <si>
    <t>7. description poste de travaux</t>
  </si>
  <si>
    <t>7. coût des travaux en €HT / €TTC</t>
  </si>
  <si>
    <t>1. Identité du demandeur</t>
  </si>
  <si>
    <t>2. Adresse du chantier</t>
  </si>
  <si>
    <t>3. Synthèse des travaux éligibles</t>
  </si>
  <si>
    <t>4. Synthèse de l'audit énergétique</t>
  </si>
  <si>
    <t>5. Description des travaux éligibles</t>
  </si>
  <si>
    <t>6. Demande de dérogation aux critères</t>
  </si>
  <si>
    <t>1. description paroi concernée</t>
  </si>
  <si>
    <t>1. motif</t>
  </si>
  <si>
    <t>2. description paroi concernée</t>
  </si>
  <si>
    <t>2. motif</t>
  </si>
  <si>
    <t>3. description paroi concernée</t>
  </si>
  <si>
    <t>3. motif</t>
  </si>
  <si>
    <t xml:space="preserve">NOM, Prénom(s) et signature du demandeur </t>
  </si>
  <si>
    <t>demandeur_nom_prenom</t>
  </si>
  <si>
    <t>chantier_adresse_numero</t>
  </si>
  <si>
    <t>chantier_adresse_voie</t>
  </si>
  <si>
    <t>chantier_adresse_code_postal</t>
  </si>
  <si>
    <t>chantier_adresse_ville</t>
  </si>
  <si>
    <t>travaux_cout_ht</t>
  </si>
  <si>
    <t>travaux_cout_ttc</t>
  </si>
  <si>
    <t>audit_date_jj</t>
  </si>
  <si>
    <t>audit_date_mm</t>
  </si>
  <si>
    <t>audit_date_aaaa</t>
  </si>
  <si>
    <t>audit_id</t>
  </si>
  <si>
    <t>auditeur_raison_sociale</t>
  </si>
  <si>
    <t>auditeur_siret</t>
  </si>
  <si>
    <t>situation_initiale_cep</t>
  </si>
  <si>
    <t>situation_initiale_cef</t>
  </si>
  <si>
    <t>situation_initiale_eges</t>
  </si>
  <si>
    <t>situation_initiale_classe_dpe</t>
  </si>
  <si>
    <t>situation_initiale_sref</t>
  </si>
  <si>
    <t>situation_finale_ref_scenario</t>
  </si>
  <si>
    <t>situation_finale_cep</t>
  </si>
  <si>
    <t>situation_finale_cef</t>
  </si>
  <si>
    <t>situation_finale_eges</t>
  </si>
  <si>
    <t>situation_finale_classe_dpe</t>
  </si>
  <si>
    <t>situation_finale_sref</t>
  </si>
  <si>
    <t>situation_finale_gain_2_classes</t>
  </si>
  <si>
    <t>situation_finale_gain_3_classes</t>
  </si>
  <si>
    <t>situation_finale_gain_4_classes</t>
  </si>
  <si>
    <t>travaux_2_description</t>
  </si>
  <si>
    <t>travaux_2_cout_ht_ttc</t>
  </si>
  <si>
    <t>travaux_3_description</t>
  </si>
  <si>
    <t>travaux_3_cout_ht_ttc</t>
  </si>
  <si>
    <t>travaux_4_description</t>
  </si>
  <si>
    <t>travaux_4_cout_ht_ttc</t>
  </si>
  <si>
    <t>travaux_5_description</t>
  </si>
  <si>
    <t>travaux_5_cout_ht_ttc</t>
  </si>
  <si>
    <t>travaux_6_description</t>
  </si>
  <si>
    <t>travaux_6_cout_ht_ttc</t>
  </si>
  <si>
    <t>travaux_7_description</t>
  </si>
  <si>
    <t>travaux_7_cout_ht_ttc</t>
  </si>
  <si>
    <t>derogation_1_paroi</t>
  </si>
  <si>
    <t>derogation_1_motif</t>
  </si>
  <si>
    <t>derogation_2_paroi</t>
  </si>
  <si>
    <t>derogation_2_motif</t>
  </si>
  <si>
    <t>derogation_3_paroi</t>
  </si>
  <si>
    <t>derogation_3_motif</t>
  </si>
  <si>
    <t>demandeur_fait_lieu</t>
  </si>
  <si>
    <t>demandeur_fait_le_jj</t>
  </si>
  <si>
    <t>demandeur_fait_le_mm</t>
  </si>
  <si>
    <t>demandeur_fait_le_aaaa</t>
  </si>
  <si>
    <t>demandeur_designation</t>
  </si>
  <si>
    <t>demandeur_signature</t>
  </si>
  <si>
    <t>accompagnateur_fait_lieu</t>
  </si>
  <si>
    <t>accompagnateur_fait_le_jj</t>
  </si>
  <si>
    <t>accompagnateur_fait_le_mm</t>
  </si>
  <si>
    <t>accompagnateur_fait_le_aaaa</t>
  </si>
  <si>
    <t>accompagnateur_designation</t>
  </si>
  <si>
    <t>accompagnateur_signature</t>
  </si>
  <si>
    <t>accompagnateur_raison_sociale</t>
  </si>
  <si>
    <t>accompagnateur_siret</t>
  </si>
  <si>
    <t>Date de réalisation de l’audit énergétique : mm</t>
  </si>
  <si>
    <t>Date de réalisation de l’audit énergétique : jj</t>
  </si>
  <si>
    <t>Date de réalisation de l’audit énergétique : aaaa</t>
  </si>
  <si>
    <t>Fait le : jj</t>
  </si>
  <si>
    <t>Fait le : mm</t>
  </si>
  <si>
    <t>Fait le : aaaa</t>
  </si>
  <si>
    <t>Siganture du demandeur</t>
  </si>
  <si>
    <t>Signature accompagnateur</t>
  </si>
  <si>
    <t xml:space="preserve">NOM, Prénom(s) et signature de l'accompagnateur </t>
  </si>
  <si>
    <t xml:space="preserve">Siganture de l'accompagnateur </t>
  </si>
  <si>
    <t>Raison sociale de l'auditeur</t>
  </si>
  <si>
    <t>N° SIRET de l auditeur</t>
  </si>
  <si>
    <t xml:space="preserve">Raison sociale de l'accompagnateur </t>
  </si>
  <si>
    <t xml:space="preserve">N° SIRET de l'accompagnateur </t>
  </si>
  <si>
    <t>numero_dossier</t>
  </si>
  <si>
    <t>type_demandeur</t>
  </si>
  <si>
    <t>demandeur_fait_le</t>
  </si>
  <si>
    <t>chantier_adresse</t>
  </si>
  <si>
    <t>signature du demandeur</t>
  </si>
  <si>
    <t>En tant que propriétaire  …</t>
  </si>
  <si>
    <t>demandeur_nom</t>
  </si>
  <si>
    <t>demandeur_prenom</t>
  </si>
  <si>
    <t>demandeur_adresse_voie</t>
  </si>
  <si>
    <t>demandeur_adresse_batiment</t>
  </si>
  <si>
    <t>demandeur_adresse_etage</t>
  </si>
  <si>
    <t>demandeur_adresse_porte</t>
  </si>
  <si>
    <t>demandeur_adresse_escalier</t>
  </si>
  <si>
    <t>demandeur_adresse_code_postal</t>
  </si>
  <si>
    <t>demandeur_adresse_ville</t>
  </si>
  <si>
    <t>demandeur_telephone</t>
  </si>
  <si>
    <t>demandeur_email</t>
  </si>
  <si>
    <t>montant_1</t>
  </si>
  <si>
    <t>montant_2</t>
  </si>
  <si>
    <t>montant_3</t>
  </si>
  <si>
    <t>montant_4</t>
  </si>
  <si>
    <t>montant_5</t>
  </si>
  <si>
    <t>montant_6</t>
  </si>
  <si>
    <t>montant_7</t>
  </si>
  <si>
    <t>montant_8</t>
  </si>
  <si>
    <t>montant_9</t>
  </si>
  <si>
    <t>montant_10</t>
  </si>
  <si>
    <t>montant_11</t>
  </si>
  <si>
    <t>montant_12</t>
  </si>
  <si>
    <t>montant_13</t>
  </si>
  <si>
    <t>montant_14</t>
  </si>
  <si>
    <t>montant_15</t>
  </si>
  <si>
    <t>montant_16</t>
  </si>
  <si>
    <t>montant_17</t>
  </si>
  <si>
    <t>montant_18</t>
  </si>
  <si>
    <t>montant_19</t>
  </si>
  <si>
    <t>Signature du demandeur</t>
  </si>
  <si>
    <t>demandeur_adresse</t>
  </si>
  <si>
    <t>amo_fait_lieu</t>
  </si>
  <si>
    <t>amo_fait_le</t>
  </si>
  <si>
    <t>anah_mpra_attestation_travaux_factures.template.pdf</t>
  </si>
  <si>
    <t>S3 (retenu MPRA)</t>
  </si>
  <si>
    <t>DESCRIPTION</t>
  </si>
  <si>
    <t>KEY</t>
  </si>
  <si>
    <t>VALUE</t>
  </si>
  <si>
    <t>TEMPLATE FILENAME</t>
  </si>
  <si>
    <t>OUTPUT FILENAME</t>
  </si>
  <si>
    <t>Nombre</t>
  </si>
  <si>
    <t>Text</t>
  </si>
  <si>
    <t># ##0 €"HT"</t>
  </si>
  <si>
    <t># ##0 €"TTC"</t>
  </si>
  <si>
    <t>Mail</t>
  </si>
  <si>
    <t>C</t>
  </si>
  <si>
    <t>1. Dossier</t>
  </si>
  <si>
    <t>PO</t>
  </si>
  <si>
    <t>F</t>
  </si>
  <si>
    <t>accompagnateur_fait_le</t>
  </si>
  <si>
    <t>Fait le : jj/mm/aaaa</t>
  </si>
  <si>
    <t>Date de visite : jj/mm/aaaa</t>
  </si>
  <si>
    <t>accompagnateur_date_visite</t>
  </si>
  <si>
    <t>Entrées de travaux identifiées</t>
  </si>
  <si>
    <t xml:space="preserve">Dégradation </t>
  </si>
  <si>
    <t xml:space="preserve">Insalubrité </t>
  </si>
  <si>
    <t>Isolation (ITE, ITI, toiture, menuiseries, etc.</t>
  </si>
  <si>
    <t xml:space="preserve">Changement du système de chauffage  </t>
  </si>
  <si>
    <t xml:space="preserve">Adaptation  </t>
  </si>
  <si>
    <t xml:space="preserve">Réparation/entretien </t>
  </si>
  <si>
    <t>Amélioration/embellissement</t>
  </si>
  <si>
    <t>cause_travaux_degradation</t>
  </si>
  <si>
    <t>cause_travaux_insalubrite</t>
  </si>
  <si>
    <t>cause_travaux_isolation</t>
  </si>
  <si>
    <t>cause_travaux_chauffage</t>
  </si>
  <si>
    <t>cause_travaux_adaptation</t>
  </si>
  <si>
    <t>cause_travaux_reparation_entretien</t>
  </si>
  <si>
    <t>cause_travaux_amelioration_embellissement</t>
  </si>
  <si>
    <t>Signalement d'une situation manifeste d’habitat indigne</t>
  </si>
  <si>
    <t>oui/non</t>
  </si>
  <si>
    <t>si oui, description de la situiation</t>
  </si>
  <si>
    <t>en cas de situation, nom et adresse du service</t>
  </si>
  <si>
    <t>signalement_habitat_indigne</t>
  </si>
  <si>
    <t>si_oui_description_situation</t>
  </si>
  <si>
    <t>si_oui_coordonnees_structure_redirection</t>
  </si>
  <si>
    <t xml:space="preserve">Orientation vers un accompagnement renforcé : </t>
  </si>
  <si>
    <t>orientation_accompagnement_renforce</t>
  </si>
  <si>
    <t>Si oui, l’accompagnement renforcé sera :</t>
  </si>
  <si>
    <t>si_accompagnement_renforce</t>
  </si>
  <si>
    <t>si_realisation_externe_coordonnees_structure_redirection</t>
  </si>
  <si>
    <t>Nom et adresse de la structure vers qui est redirigé le ménage :</t>
  </si>
  <si>
    <t xml:space="preserve">Orientation pour une action d’adaptation : </t>
  </si>
  <si>
    <t xml:space="preserve">Si oui, précisions sur l’action d’orientation </t>
  </si>
  <si>
    <t>Observations</t>
  </si>
  <si>
    <t>observations</t>
  </si>
  <si>
    <t>si_oui_precision_action_orientation</t>
  </si>
  <si>
    <t>orientation_pour_action_dadaptation</t>
  </si>
  <si>
    <t>Identité</t>
  </si>
  <si>
    <t>Adresse Chantier</t>
  </si>
  <si>
    <t>Adresse Actuelle</t>
  </si>
  <si>
    <t>Initiales</t>
  </si>
  <si>
    <t>Référence</t>
  </si>
  <si>
    <t>Projet</t>
  </si>
  <si>
    <t>Référence du Scénario</t>
  </si>
  <si>
    <t>Date de 1ère visite</t>
  </si>
  <si>
    <t>Date de l'audit</t>
  </si>
  <si>
    <t>Numéro de l'audit</t>
  </si>
  <si>
    <t>Financement</t>
  </si>
  <si>
    <t>Description du Poste</t>
  </si>
  <si>
    <t>MPRA</t>
  </si>
  <si>
    <t>Siret</t>
  </si>
  <si>
    <t>Logement</t>
  </si>
  <si>
    <t>Nbr étage</t>
  </si>
  <si>
    <t>Nbr pièces</t>
  </si>
  <si>
    <t>Année construction</t>
  </si>
  <si>
    <t>SHAB</t>
  </si>
  <si>
    <t>Energie de chauffage</t>
  </si>
  <si>
    <t>Charbon</t>
  </si>
  <si>
    <t>Gaz naturel distribué via le réseau de gaz</t>
  </si>
  <si>
    <t>GPL citerne ou bouteille de gaz</t>
  </si>
  <si>
    <t>Fioul</t>
  </si>
  <si>
    <t>Electricité radiateurs électriques</t>
  </si>
  <si>
    <t>Electricité PAC pompe à chaleur</t>
  </si>
  <si>
    <t>Biomasse bois ou granulés</t>
  </si>
  <si>
    <t>Autre</t>
  </si>
  <si>
    <t>Pas de chauffage</t>
  </si>
  <si>
    <t>% reduction CEP</t>
  </si>
  <si>
    <t>% reduction CEF</t>
  </si>
  <si>
    <t>% reduction EGES</t>
  </si>
  <si>
    <t>Nbr de sauts de classe</t>
  </si>
  <si>
    <t>Travaux</t>
  </si>
  <si>
    <t>Raison</t>
  </si>
  <si>
    <t>Honoraires subventionnables (maîtrise d'œuvre)</t>
  </si>
  <si>
    <t>Honoraires non subventionnables (maîtrise d'œuvre)</t>
  </si>
  <si>
    <t>Coût de la prestation d'assistance à maîtrise d'ouvrage</t>
  </si>
  <si>
    <t>Sitaution Fiscale</t>
  </si>
  <si>
    <t>Nbr personnes</t>
  </si>
  <si>
    <t>Tranche</t>
  </si>
  <si>
    <t>Très Modeste</t>
  </si>
  <si>
    <t>Modeste</t>
  </si>
  <si>
    <t>Intermédiaire</t>
  </si>
  <si>
    <t>Supérieur</t>
  </si>
  <si>
    <t>ANAH - Energie de Chauffage</t>
  </si>
  <si>
    <t>ANAH - Catégories</t>
  </si>
  <si>
    <t>TM</t>
  </si>
  <si>
    <t>M</t>
  </si>
  <si>
    <t>I</t>
  </si>
  <si>
    <t>S</t>
  </si>
  <si>
    <t>Catégorie</t>
  </si>
  <si>
    <t>Saut Classe</t>
  </si>
  <si>
    <t>Taux</t>
  </si>
  <si>
    <t>Bonus Passoire</t>
  </si>
  <si>
    <t>Plafond</t>
  </si>
  <si>
    <t>Pers.</t>
  </si>
  <si>
    <t>RFR</t>
  </si>
  <si>
    <t>AMO</t>
  </si>
  <si>
    <t>- dont MPRA</t>
  </si>
  <si>
    <t>- dont MPR</t>
  </si>
  <si>
    <t>Aides de l'ANAH</t>
  </si>
  <si>
    <t>taux</t>
  </si>
  <si>
    <t>plafond</t>
  </si>
  <si>
    <t>Sortie de passoire</t>
  </si>
  <si>
    <t>- dont aide AMO</t>
  </si>
  <si>
    <t>Aide commune</t>
  </si>
  <si>
    <t>Aide EPCI</t>
  </si>
  <si>
    <t>Aide département</t>
  </si>
  <si>
    <t>Aide région</t>
  </si>
  <si>
    <t>Aide union européenne</t>
  </si>
  <si>
    <t xml:space="preserve">Caisse de retraite régime de base (CNAV/CARSAT, MSA, RSI, autres)	</t>
  </si>
  <si>
    <t>Caisse de retraite complémentaires obligatoires (AGIRC, ARRCO, IRCANTEC, autres)</t>
  </si>
  <si>
    <t>Autre aide publique (ADEME, Agence de l'eau…)</t>
  </si>
  <si>
    <t>Total prévisionnel des aides publiques</t>
  </si>
  <si>
    <t>Aides non publiques</t>
  </si>
  <si>
    <t>11</t>
  </si>
  <si>
    <t xml:space="preserve">Coût des travaux subventionnables	</t>
  </si>
  <si>
    <t>Coût des travaux non subventionnables</t>
  </si>
  <si>
    <t>Coût de l'opération</t>
  </si>
  <si>
    <t xml:space="preserve">Montant des aides sollicitées	</t>
  </si>
  <si>
    <t xml:space="preserve">Reste à charge prévisionnel	</t>
  </si>
  <si>
    <t xml:space="preserve">Apport de fonds personnels	</t>
  </si>
  <si>
    <t>Prêt</t>
  </si>
  <si>
    <t>4</t>
  </si>
  <si>
    <t xml:space="preserve">Montant global </t>
  </si>
  <si>
    <t xml:space="preserve">Équilibre financier du projet	</t>
  </si>
  <si>
    <t>Total prévisionnel des financements (total aides publiques + total aides privées)</t>
  </si>
  <si>
    <t>Équilibre financier du projet (coût total de l'opération - total des financements)</t>
  </si>
  <si>
    <t>85016272800024</t>
  </si>
  <si>
    <t>81390066900017</t>
  </si>
  <si>
    <t>38995187200032</t>
  </si>
  <si>
    <t>78968041000014</t>
  </si>
  <si>
    <t>88508022600024</t>
  </si>
  <si>
    <t>MONSIEUR STEVEN VERNAY</t>
  </si>
  <si>
    <t>Menuiserie Reynaud</t>
  </si>
  <si>
    <t>EURL FRANCK PEYTAUD</t>
  </si>
  <si>
    <t>BESSAT.B ELECTRICITE</t>
  </si>
  <si>
    <t>GIRARD NICOLAS</t>
  </si>
  <si>
    <t>Date signature</t>
  </si>
  <si>
    <t>Préfix dossier</t>
  </si>
  <si>
    <t>Type</t>
  </si>
  <si>
    <t xml:space="preserve">Signature de l'accompagnateur </t>
  </si>
  <si>
    <t>A24260164258O</t>
  </si>
  <si>
    <t>ITI des murs du salon (R=3.7)</t>
  </si>
  <si>
    <t>Remplacement des menuiseries</t>
  </si>
  <si>
    <t>Installation VMC SF Hb</t>
  </si>
  <si>
    <t>Installation d un CET</t>
  </si>
  <si>
    <t>Remplacement des menuiseries, travaux de maçonnerie liés</t>
  </si>
  <si>
    <t>anah_mpra_plan_financement.pdf</t>
  </si>
  <si>
    <t>anah_mpra_synthese_grille_analyse_logement.pdf</t>
  </si>
  <si>
    <t>anah_mpra_attestation_cee.pdf</t>
  </si>
  <si>
    <t>anah_mpra_attestation_travaux_devis.pdf</t>
  </si>
  <si>
    <t>anah_mpra_attestation_travaux_factures.pdf</t>
  </si>
  <si>
    <t>contrat_amo.docx</t>
  </si>
  <si>
    <t>MARTIN</t>
  </si>
  <si>
    <t>08 08 80 07 00</t>
  </si>
  <si>
    <t>8</t>
  </si>
  <si>
    <t>avenue de l'Opéra</t>
  </si>
  <si>
    <t>75008</t>
  </si>
  <si>
    <t>Paris</t>
  </si>
  <si>
    <t>1</t>
  </si>
  <si>
    <t>10</t>
  </si>
  <si>
    <t>B</t>
  </si>
  <si>
    <t>2000405090004Z</t>
  </si>
  <si>
    <t>LA RAISON DE L'ACCOMPAGNATEUR</t>
  </si>
  <si>
    <t>Lyon</t>
  </si>
  <si>
    <t>contact@anah.fr</t>
  </si>
  <si>
    <t>Dupont</t>
  </si>
  <si>
    <t>Jean</t>
  </si>
  <si>
    <t>1234567</t>
  </si>
  <si>
    <t>Marius</t>
  </si>
  <si>
    <t>09 00 00 00 X2</t>
  </si>
  <si>
    <t>09 00 00 00 X1</t>
  </si>
  <si>
    <t>MM1</t>
  </si>
  <si>
    <t>MM2</t>
  </si>
  <si>
    <t>marius.martin@anah.fr</t>
  </si>
  <si>
    <t>Marilyne</t>
  </si>
  <si>
    <t>MARTINE</t>
  </si>
  <si>
    <t>maryline.martine@anah.fr</t>
  </si>
  <si>
    <t>amo_raison</t>
  </si>
  <si>
    <t>amo_siret</t>
  </si>
  <si>
    <t>amo_adresse</t>
  </si>
  <si>
    <t>amo_adresse_code_postal</t>
  </si>
  <si>
    <t>amo_adresse_ville</t>
  </si>
  <si>
    <t>1 place de l'hotel de ville</t>
  </si>
  <si>
    <t>69001</t>
  </si>
  <si>
    <t>Client</t>
  </si>
  <si>
    <t>Signatures</t>
  </si>
  <si>
    <t>amo_telephone</t>
  </si>
  <si>
    <t>amo_email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</si>
</sst>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€&quot;"/>
    <numFmt numFmtId="165" formatCode="_-* #,##0.00\ [$€-40C]_-;\-* #,##0.00\ [$€-40C]_-;_-* &quot;-&quot;??\ [$€-40C]_-;_-@_-"/>
    <numFmt numFmtId="166" formatCode="#,##0\ &quot;€&quot;"/>
    <numFmt numFmtId="167" formatCode="00"/>
    <numFmt numFmtId="168" formatCode="0.0"/>
    <numFmt numFmtId="169" formatCode="0.0&quot; m²&quot;"/>
    <numFmt numFmtId="170" formatCode="_-* #,##0\ [$€-40C]_-;\-* #,##0\ [$€-40C]_-;_-* &quot;-&quot;??\ [$€-40C]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8">
    <xf numFmtId="0" fontId="0" fillId="0" borderId="0" xfId="0"/>
    <xf numFmtId="0" fontId="3" fillId="0" borderId="0" xfId="0" applyFont="1"/>
    <xf numFmtId="0" fontId="8" fillId="0" borderId="0" xfId="0" applyFont="1"/>
    <xf numFmtId="0" fontId="11" fillId="2" borderId="0" xfId="0" applyFont="1" applyFill="1"/>
    <xf numFmtId="49" fontId="12" fillId="2" borderId="0" xfId="0" applyNumberFormat="1" applyFont="1" applyFill="1" applyAlignment="1">
      <alignment horizontal="left"/>
    </xf>
    <xf numFmtId="0" fontId="0" fillId="0" borderId="1" xfId="0" applyBorder="1"/>
    <xf numFmtId="165" fontId="14" fillId="0" borderId="11" xfId="1" applyNumberFormat="1" applyFont="1" applyFill="1" applyBorder="1" applyAlignment="1">
      <alignment horizontal="right"/>
    </xf>
    <xf numFmtId="164" fontId="14" fillId="0" borderId="12" xfId="0" applyNumberFormat="1" applyFont="1" applyBorder="1" applyAlignment="1">
      <alignment horizontal="right"/>
    </xf>
    <xf numFmtId="164" fontId="14" fillId="0" borderId="4" xfId="0" applyNumberFormat="1" applyFont="1" applyBorder="1" applyAlignment="1">
      <alignment horizontal="right"/>
    </xf>
    <xf numFmtId="165" fontId="14" fillId="0" borderId="1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5" fillId="7" borderId="0" xfId="0" applyFont="1" applyFill="1"/>
    <xf numFmtId="0" fontId="15" fillId="7" borderId="0" xfId="0" applyFont="1" applyFill="1" applyAlignment="1">
      <alignment wrapText="1"/>
    </xf>
    <xf numFmtId="0" fontId="15" fillId="5" borderId="0" xfId="0" applyFont="1" applyFill="1"/>
    <xf numFmtId="0" fontId="16" fillId="0" borderId="0" xfId="0" applyFont="1"/>
    <xf numFmtId="0" fontId="16" fillId="0" borderId="1" xfId="0" applyFont="1" applyBorder="1"/>
    <xf numFmtId="0" fontId="17" fillId="0" borderId="0" xfId="0" applyFont="1"/>
    <xf numFmtId="1" fontId="0" fillId="0" borderId="0" xfId="0" applyNumberFormat="1"/>
    <xf numFmtId="0" fontId="0" fillId="4" borderId="0" xfId="0" applyFill="1" applyAlignment="1">
      <alignment horizontal="right"/>
    </xf>
    <xf numFmtId="0" fontId="11" fillId="8" borderId="0" xfId="0" applyFont="1" applyFill="1"/>
    <xf numFmtId="0" fontId="11" fillId="2" borderId="0" xfId="0" applyFont="1" applyFill="1" applyAlignment="1">
      <alignment horizontal="center" vertical="center"/>
    </xf>
    <xf numFmtId="0" fontId="11" fillId="9" borderId="0" xfId="0" applyFont="1" applyFill="1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2" fontId="0" fillId="0" borderId="0" xfId="0" applyNumberFormat="1"/>
    <xf numFmtId="1" fontId="18" fillId="0" borderId="0" xfId="0" applyNumberFormat="1" applyFont="1"/>
    <xf numFmtId="0" fontId="18" fillId="0" borderId="0" xfId="0" applyFont="1"/>
    <xf numFmtId="0" fontId="11" fillId="2" borderId="0" xfId="0" applyFon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5" fillId="7" borderId="0" xfId="0" applyFont="1" applyFill="1" applyAlignment="1">
      <alignment horizontal="right"/>
    </xf>
    <xf numFmtId="0" fontId="0" fillId="0" borderId="0" xfId="0" applyAlignment="1">
      <alignment horizontal="right" wrapText="1"/>
    </xf>
    <xf numFmtId="167" fontId="0" fillId="0" borderId="0" xfId="0" applyNumberFormat="1" applyAlignment="1">
      <alignment horizontal="right"/>
    </xf>
    <xf numFmtId="0" fontId="15" fillId="5" borderId="0" xfId="0" applyFont="1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20" xfId="0" applyBorder="1"/>
    <xf numFmtId="0" fontId="18" fillId="0" borderId="21" xfId="0" applyFont="1" applyBorder="1" applyAlignment="1">
      <alignment horizontal="right"/>
    </xf>
    <xf numFmtId="0" fontId="18" fillId="0" borderId="5" xfId="0" applyFont="1" applyBorder="1" applyAlignment="1">
      <alignment horizontal="right"/>
    </xf>
    <xf numFmtId="1" fontId="0" fillId="0" borderId="19" xfId="0" applyNumberFormat="1" applyBorder="1"/>
    <xf numFmtId="166" fontId="18" fillId="0" borderId="0" xfId="0" applyNumberFormat="1" applyFont="1" applyAlignment="1">
      <alignment horizontal="left"/>
    </xf>
    <xf numFmtId="166" fontId="18" fillId="0" borderId="1" xfId="0" applyNumberFormat="1" applyFont="1" applyBorder="1" applyAlignment="1">
      <alignment horizontal="left"/>
    </xf>
    <xf numFmtId="166" fontId="19" fillId="0" borderId="0" xfId="0" applyNumberFormat="1" applyFont="1" applyAlignment="1">
      <alignment horizontal="left"/>
    </xf>
    <xf numFmtId="0" fontId="0" fillId="4" borderId="0" xfId="0" applyFill="1"/>
    <xf numFmtId="49" fontId="0" fillId="4" borderId="0" xfId="0" applyNumberFormat="1" applyFill="1"/>
    <xf numFmtId="0" fontId="21" fillId="7" borderId="0" xfId="0" applyFont="1" applyFill="1" applyAlignment="1">
      <alignment horizontal="left"/>
    </xf>
    <xf numFmtId="0" fontId="21" fillId="7" borderId="0" xfId="0" applyFont="1" applyFill="1"/>
    <xf numFmtId="0" fontId="6" fillId="0" borderId="0" xfId="0" applyFont="1"/>
    <xf numFmtId="0" fontId="22" fillId="0" borderId="0" xfId="0" applyFont="1"/>
    <xf numFmtId="14" fontId="0" fillId="0" borderId="0" xfId="0" applyNumberFormat="1"/>
    <xf numFmtId="49" fontId="0" fillId="0" borderId="0" xfId="0" applyNumberFormat="1"/>
    <xf numFmtId="49" fontId="23" fillId="0" borderId="0" xfId="2" applyNumberFormat="1" applyFont="1" applyFill="1" applyBorder="1"/>
    <xf numFmtId="0" fontId="15" fillId="0" borderId="0" xfId="0" applyFont="1"/>
    <xf numFmtId="0" fontId="23" fillId="0" borderId="23" xfId="0" applyFont="1" applyBorder="1"/>
    <xf numFmtId="0" fontId="24" fillId="0" borderId="23" xfId="2" applyFont="1" applyFill="1" applyBorder="1"/>
    <xf numFmtId="0" fontId="24" fillId="0" borderId="0" xfId="2" applyFont="1" applyFill="1" applyBorder="1"/>
    <xf numFmtId="0" fontId="24" fillId="0" borderId="0" xfId="2" applyFont="1" applyFill="1"/>
    <xf numFmtId="0" fontId="0" fillId="0" borderId="0" xfId="0" applyAlignment="1">
      <alignment horizontal="left"/>
    </xf>
    <xf numFmtId="49" fontId="0" fillId="4" borderId="0" xfId="0" applyNumberFormat="1" applyFill="1" applyAlignment="1">
      <alignment horizontal="left"/>
    </xf>
    <xf numFmtId="0" fontId="11" fillId="2" borderId="0" xfId="0" applyFont="1" applyFill="1" applyAlignment="1">
      <alignment horizontal="left"/>
    </xf>
    <xf numFmtId="14" fontId="0" fillId="4" borderId="0" xfId="0" applyNumberFormat="1" applyFill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4" borderId="0" xfId="0" applyFill="1" applyAlignment="1">
      <alignment horizontal="left"/>
    </xf>
    <xf numFmtId="168" fontId="6" fillId="4" borderId="0" xfId="0" applyNumberFormat="1" applyFont="1" applyFill="1" applyAlignment="1">
      <alignment horizontal="left"/>
    </xf>
    <xf numFmtId="169" fontId="6" fillId="4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21" fillId="6" borderId="0" xfId="0" applyFont="1" applyFill="1" applyAlignment="1">
      <alignment horizontal="left"/>
    </xf>
    <xf numFmtId="0" fontId="0" fillId="0" borderId="24" xfId="0" applyBorder="1" applyAlignment="1">
      <alignment horizontal="center"/>
    </xf>
    <xf numFmtId="9" fontId="0" fillId="0" borderId="0" xfId="1" applyFont="1" applyBorder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/>
    </xf>
    <xf numFmtId="170" fontId="0" fillId="11" borderId="0" xfId="0" applyNumberFormat="1" applyFill="1" applyAlignment="1">
      <alignment horizontal="center"/>
    </xf>
    <xf numFmtId="9" fontId="0" fillId="0" borderId="0" xfId="1" applyFont="1" applyAlignment="1">
      <alignment horizontal="center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9" fontId="0" fillId="11" borderId="0" xfId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70" fontId="3" fillId="4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4" fillId="8" borderId="0" xfId="0" applyFont="1" applyFill="1"/>
    <xf numFmtId="166" fontId="0" fillId="4" borderId="0" xfId="0" applyNumberFormat="1" applyFill="1" applyAlignment="1">
      <alignment horizontal="left"/>
    </xf>
    <xf numFmtId="49" fontId="27" fillId="8" borderId="0" xfId="0" applyNumberFormat="1" applyFont="1" applyFill="1" applyAlignment="1">
      <alignment horizontal="left"/>
    </xf>
    <xf numFmtId="9" fontId="27" fillId="8" borderId="0" xfId="1" applyFont="1" applyFill="1" applyAlignment="1">
      <alignment horizontal="left"/>
    </xf>
    <xf numFmtId="9" fontId="28" fillId="0" borderId="0" xfId="0" applyNumberFormat="1" applyFont="1" applyAlignment="1">
      <alignment horizontal="right"/>
    </xf>
    <xf numFmtId="166" fontId="28" fillId="0" borderId="0" xfId="0" applyNumberFormat="1" applyFont="1" applyAlignment="1">
      <alignment horizontal="right"/>
    </xf>
    <xf numFmtId="49" fontId="7" fillId="0" borderId="1" xfId="0" applyNumberFormat="1" applyFont="1" applyBorder="1"/>
    <xf numFmtId="49" fontId="7" fillId="0" borderId="2" xfId="0" applyNumberFormat="1" applyFont="1" applyBorder="1"/>
    <xf numFmtId="49" fontId="7" fillId="0" borderId="2" xfId="0" applyNumberFormat="1" applyFont="1" applyBorder="1" applyAlignment="1">
      <alignment wrapText="1"/>
    </xf>
    <xf numFmtId="49" fontId="7" fillId="0" borderId="3" xfId="0" applyNumberFormat="1" applyFont="1" applyBorder="1"/>
    <xf numFmtId="0" fontId="7" fillId="0" borderId="0" xfId="0" applyFont="1"/>
    <xf numFmtId="164" fontId="10" fillId="0" borderId="15" xfId="0" applyNumberFormat="1" applyFont="1" applyBorder="1"/>
    <xf numFmtId="164" fontId="10" fillId="0" borderId="16" xfId="0" applyNumberFormat="1" applyFont="1" applyBorder="1"/>
    <xf numFmtId="164" fontId="10" fillId="0" borderId="5" xfId="0" applyNumberFormat="1" applyFont="1" applyBorder="1"/>
    <xf numFmtId="49" fontId="7" fillId="0" borderId="1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 wrapText="1"/>
    </xf>
    <xf numFmtId="49" fontId="7" fillId="0" borderId="2" xfId="0" applyNumberFormat="1" applyFont="1" applyBorder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0" fontId="28" fillId="0" borderId="1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49" fontId="10" fillId="0" borderId="28" xfId="0" applyNumberFormat="1" applyFont="1" applyBorder="1" applyAlignment="1">
      <alignment horizontal="center"/>
    </xf>
    <xf numFmtId="49" fontId="10" fillId="0" borderId="28" xfId="0" applyNumberFormat="1" applyFont="1" applyBorder="1"/>
    <xf numFmtId="0" fontId="0" fillId="0" borderId="28" xfId="0" applyBorder="1"/>
    <xf numFmtId="0" fontId="21" fillId="6" borderId="0" xfId="0" applyFont="1" applyFill="1"/>
    <xf numFmtId="164" fontId="7" fillId="0" borderId="2" xfId="0" applyNumberFormat="1" applyFont="1" applyBorder="1" applyAlignment="1">
      <alignment horizontal="right"/>
    </xf>
    <xf numFmtId="165" fontId="14" fillId="0" borderId="13" xfId="1" applyNumberFormat="1" applyFont="1" applyFill="1" applyBorder="1" applyAlignment="1">
      <alignment horizontal="right"/>
    </xf>
    <xf numFmtId="165" fontId="14" fillId="0" borderId="14" xfId="0" applyNumberFormat="1" applyFont="1" applyBorder="1" applyAlignment="1">
      <alignment horizontal="right"/>
    </xf>
    <xf numFmtId="164" fontId="14" fillId="0" borderId="14" xfId="0" applyNumberFormat="1" applyFont="1" applyBorder="1" applyAlignment="1">
      <alignment horizontal="right"/>
    </xf>
    <xf numFmtId="164" fontId="14" fillId="0" borderId="13" xfId="0" applyNumberFormat="1" applyFont="1" applyBorder="1" applyAlignment="1">
      <alignment horizontal="right"/>
    </xf>
    <xf numFmtId="14" fontId="0" fillId="4" borderId="0" xfId="0" applyNumberFormat="1" applyFill="1" applyAlignment="1">
      <alignment horizontal="center"/>
    </xf>
    <xf numFmtId="0" fontId="6" fillId="4" borderId="0" xfId="0" applyFont="1" applyFill="1" applyAlignment="1">
      <alignment horizontal="left"/>
    </xf>
    <xf numFmtId="164" fontId="0" fillId="4" borderId="0" xfId="0" applyNumberFormat="1" applyFill="1" applyAlignment="1">
      <alignment horizontal="right"/>
    </xf>
    <xf numFmtId="164" fontId="0" fillId="8" borderId="0" xfId="0" applyNumberFormat="1" applyFill="1"/>
    <xf numFmtId="14" fontId="0" fillId="8" borderId="0" xfId="0" applyNumberFormat="1" applyFill="1"/>
    <xf numFmtId="2" fontId="0" fillId="8" borderId="0" xfId="0" applyNumberFormat="1" applyFill="1" applyAlignment="1">
      <alignment horizontal="left"/>
    </xf>
    <xf numFmtId="2" fontId="0" fillId="8" borderId="0" xfId="0" applyNumberFormat="1" applyFill="1"/>
    <xf numFmtId="49" fontId="0" fillId="8" borderId="0" xfId="0" applyNumberFormat="1" applyFill="1"/>
    <xf numFmtId="166" fontId="18" fillId="8" borderId="22" xfId="0" applyNumberFormat="1" applyFont="1" applyFill="1" applyBorder="1" applyAlignment="1">
      <alignment horizontal="right"/>
    </xf>
    <xf numFmtId="166" fontId="18" fillId="8" borderId="15" xfId="0" applyNumberFormat="1" applyFont="1" applyFill="1" applyBorder="1" applyAlignment="1">
      <alignment horizontal="right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21" fillId="6" borderId="27" xfId="0" applyFont="1" applyFill="1" applyBorder="1"/>
    <xf numFmtId="0" fontId="3" fillId="6" borderId="29" xfId="0" applyFont="1" applyFill="1" applyBorder="1" applyAlignment="1">
      <alignment horizontal="center"/>
    </xf>
    <xf numFmtId="164" fontId="7" fillId="0" borderId="30" xfId="0" applyNumberFormat="1" applyFont="1" applyBorder="1" applyAlignment="1">
      <alignment horizontal="right"/>
    </xf>
    <xf numFmtId="164" fontId="10" fillId="0" borderId="31" xfId="0" applyNumberFormat="1" applyFont="1" applyBorder="1"/>
    <xf numFmtId="0" fontId="3" fillId="6" borderId="32" xfId="0" applyFont="1" applyFill="1" applyBorder="1" applyAlignment="1">
      <alignment horizontal="center"/>
    </xf>
    <xf numFmtId="164" fontId="7" fillId="0" borderId="33" xfId="0" applyNumberFormat="1" applyFont="1" applyBorder="1" applyAlignment="1">
      <alignment horizontal="right"/>
    </xf>
    <xf numFmtId="164" fontId="10" fillId="0" borderId="34" xfId="0" applyNumberFormat="1" applyFont="1" applyBorder="1"/>
    <xf numFmtId="164" fontId="7" fillId="0" borderId="35" xfId="0" applyNumberFormat="1" applyFont="1" applyBorder="1"/>
    <xf numFmtId="164" fontId="7" fillId="0" borderId="36" xfId="0" applyNumberFormat="1" applyFont="1" applyBorder="1"/>
    <xf numFmtId="0" fontId="0" fillId="4" borderId="36" xfId="0" applyFill="1" applyBorder="1"/>
    <xf numFmtId="164" fontId="7" fillId="4" borderId="35" xfId="0" applyNumberFormat="1" applyFont="1" applyFill="1" applyBorder="1"/>
    <xf numFmtId="164" fontId="7" fillId="0" borderId="37" xfId="0" applyNumberFormat="1" applyFont="1" applyBorder="1"/>
    <xf numFmtId="164" fontId="10" fillId="0" borderId="38" xfId="0" applyNumberFormat="1" applyFont="1" applyBorder="1"/>
    <xf numFmtId="164" fontId="29" fillId="8" borderId="35" xfId="0" applyNumberFormat="1" applyFont="1" applyFill="1" applyBorder="1"/>
    <xf numFmtId="164" fontId="7" fillId="4" borderId="39" xfId="0" applyNumberFormat="1" applyFont="1" applyFill="1" applyBorder="1" applyAlignment="1">
      <alignment horizontal="right"/>
    </xf>
    <xf numFmtId="164" fontId="29" fillId="3" borderId="35" xfId="0" applyNumberFormat="1" applyFont="1" applyFill="1" applyBorder="1"/>
    <xf numFmtId="49" fontId="7" fillId="0" borderId="2" xfId="0" applyNumberFormat="1" applyFont="1" applyBorder="1" applyAlignment="1">
      <alignment vertical="top" wrapText="1"/>
    </xf>
    <xf numFmtId="164" fontId="7" fillId="4" borderId="33" xfId="0" applyNumberFormat="1" applyFont="1" applyFill="1" applyBorder="1" applyAlignment="1">
      <alignment horizontal="right"/>
    </xf>
    <xf numFmtId="14" fontId="0" fillId="8" borderId="0" xfId="0" applyNumberFormat="1" applyFill="1" applyAlignment="1">
      <alignment horizontal="center"/>
    </xf>
    <xf numFmtId="49" fontId="5" fillId="4" borderId="0" xfId="2" applyNumberFormat="1" applyFill="1"/>
    <xf numFmtId="0" fontId="5" fillId="0" borderId="23" xfId="2" applyFill="1" applyBorder="1"/>
    <xf numFmtId="49" fontId="7" fillId="0" borderId="1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 wrapText="1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11" fillId="8" borderId="0" xfId="0" applyFont="1" applyFill="1" applyAlignment="1">
      <alignment horizontal="right"/>
    </xf>
    <xf numFmtId="0" fontId="15" fillId="7" borderId="0" xfId="0" applyFont="1" applyFill="1" applyAlignment="1">
      <alignment horizontal="left"/>
    </xf>
    <xf numFmtId="0" fontId="15" fillId="5" borderId="0" xfId="0" applyFont="1" applyFill="1" applyAlignment="1">
      <alignment horizontal="left"/>
    </xf>
    <xf numFmtId="0" fontId="11" fillId="9" borderId="0" xfId="0" applyFont="1" applyFill="1" applyAlignment="1">
      <alignment horizontal="right"/>
    </xf>
    <xf numFmtId="0" fontId="0" fillId="0" borderId="0" xfId="0" applyAlignment="1"/>
    <xf numFmtId="49" fontId="0" fillId="4" borderId="0" xfId="0" applyNumberFormat="1" applyFill="1" applyAlignment="1"/>
  </cellXfs>
  <cellStyles count="3">
    <cellStyle name="Lien hypertexte" xfId="2" builtinId="8"/>
    <cellStyle name="Normal" xfId="0" builtinId="0"/>
    <cellStyle name="Pourcentage" xfId="1" builtinId="5"/>
  </cellStyles>
  <dxfs count="41">
    <dxf>
      <fill>
        <patternFill>
          <bgColor rgb="FFD7221F"/>
        </patternFill>
      </fill>
    </dxf>
    <dxf>
      <fill>
        <patternFill>
          <bgColor rgb="FFEB8235"/>
        </patternFill>
      </fill>
    </dxf>
    <dxf>
      <fill>
        <patternFill>
          <bgColor rgb="FFF0B50F"/>
        </patternFill>
      </fill>
    </dxf>
    <dxf>
      <fill>
        <patternFill>
          <bgColor rgb="FFF4E70F"/>
        </patternFill>
      </fill>
    </dxf>
    <dxf>
      <fill>
        <patternFill>
          <bgColor rgb="FF78BD76"/>
        </patternFill>
      </fill>
    </dxf>
    <dxf>
      <fill>
        <patternFill>
          <bgColor rgb="FF52B153"/>
        </patternFill>
      </fill>
    </dxf>
    <dxf>
      <fill>
        <patternFill>
          <bgColor rgb="FF009C6D"/>
        </patternFill>
      </fill>
    </dxf>
    <dxf>
      <fill>
        <patternFill>
          <bgColor rgb="FF009C6D"/>
        </patternFill>
      </fill>
    </dxf>
    <dxf>
      <fill>
        <patternFill>
          <bgColor rgb="FFEB8235"/>
        </patternFill>
      </fill>
    </dxf>
    <dxf>
      <fill>
        <patternFill>
          <bgColor rgb="FFF0B50F"/>
        </patternFill>
      </fill>
    </dxf>
    <dxf>
      <fill>
        <patternFill>
          <bgColor rgb="FFF4E70F"/>
        </patternFill>
      </fill>
    </dxf>
    <dxf>
      <fill>
        <patternFill>
          <bgColor rgb="FF78BD76"/>
        </patternFill>
      </fill>
    </dxf>
    <dxf>
      <fill>
        <patternFill>
          <bgColor rgb="FF52B153"/>
        </patternFill>
      </fill>
    </dxf>
    <dxf>
      <fill>
        <patternFill>
          <bgColor rgb="FFD7221F"/>
        </patternFill>
      </fill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numFmt numFmtId="170" formatCode="_-* #,##0\ [$€-40C]_-;\-* #,##0\ [$€-40C]_-;_-* &quot;-&quot;??\ [$€-40C]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42</xdr:row>
      <xdr:rowOff>75461</xdr:rowOff>
    </xdr:from>
    <xdr:to>
      <xdr:col>1</xdr:col>
      <xdr:colOff>1083733</xdr:colOff>
      <xdr:row>47</xdr:row>
      <xdr:rowOff>136394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8C744BC-CAF7-8D52-FF41-FD5A9FBCE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49896" y="8422490"/>
          <a:ext cx="1007533" cy="10272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96D70-5B92-4A94-BB9A-85F0DB5FF0D0}" name="CCCPS_REFERENTS" displayName="CCCPS_REFERENTS" ref="A1:E10" headerRowDxfId="40" dataDxfId="39" totalsRowDxfId="37" tableBorderDxfId="38">
  <tableColumns count="5">
    <tableColumn id="1" xr3:uid="{45046C64-9602-4D0E-9A3D-2E15F3E48DDE}" name="Nom" totalsRowLabel="Total" dataDxfId="36" totalsRowDxfId="35"/>
    <tableColumn id="2" xr3:uid="{B9FCD3B2-F4E7-4A72-AE3E-2F62B97D1A7B}" name="Prénom" dataDxfId="34" totalsRowDxfId="33"/>
    <tableColumn id="3" xr3:uid="{5EF98CAA-9AD2-40D9-BE62-EA360F407D8C}" name="Email" dataDxfId="32" totalsRowDxfId="31" dataCellStyle="Lien hypertexte"/>
    <tableColumn id="5" xr3:uid="{28294ADF-B26A-4125-81E5-B9A29578ACE8}" name="Téléphone" dataDxfId="30" dataCellStyle="Lien hypertexte"/>
    <tableColumn id="4" xr3:uid="{1174FBDA-B57A-47EC-88ED-330611571C23}" name="Initiales" totalsRowFunction="count" dataDxfId="29" totalsRowDxfId="28" dataCellStyle="Lien hypertex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E2AB5-08A4-40FA-9EB2-07BD6512D629}" name="ANAH_ENERGIES" displayName="ANAH_ENERGIES" ref="J1:J10" totalsRowShown="0">
  <tableColumns count="1">
    <tableColumn id="1" xr3:uid="{0E7939F5-9BDD-4873-8A93-CF9B6E9155B0}" name="ANAH - Energie de Chauff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96464-8C8A-42FB-9D2F-39C6FA946F4F}" name="ANAH_CAT" displayName="ANAH_CAT" ref="G1:H5" totalsRowShown="0">
  <tableColumns count="2">
    <tableColumn id="1" xr3:uid="{DF90DD4A-836F-4F78-BD73-566E604CB7AB}" name="ANAH - Catégories"/>
    <tableColumn id="2" xr3:uid="{7224930F-88F2-4188-A48F-F43460D89EA8}" name="Initi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ADD11-AB4E-4190-B6FA-A11B45F02456}" name="ANAH_MPRA" displayName="ANAH_MPRA" ref="R1:W13" totalsRowShown="0" headerRowDxfId="27" dataDxfId="26">
  <tableColumns count="6">
    <tableColumn id="1" xr3:uid="{808DFB06-D8D9-4739-BAF5-DB7699E4CF1D}" name="Catégorie" dataDxfId="25"/>
    <tableColumn id="2" xr3:uid="{BCA51049-7901-4DF3-A750-B54EF14125BD}" name="Saut Classe" dataDxfId="24"/>
    <tableColumn id="3" xr3:uid="{65C29521-502D-4D15-BD83-B19AA03A0624}" name="Taux" dataDxfId="23" dataCellStyle="Pourcentage"/>
    <tableColumn id="4" xr3:uid="{1CAC3518-AC9F-413E-ADBF-D2301A30C14D}" name="Bonus Passoire" dataDxfId="22"/>
    <tableColumn id="5" xr3:uid="{A3475029-5A12-478F-8BD9-D8DE0AFCDFE6}" name="Plafond" dataDxfId="21"/>
    <tableColumn id="6" xr3:uid="{B6A6E4DF-26D0-4969-B0DA-91FDC999D55D}" name="AMO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D41190-F96D-44D9-ADE7-3948F360FE4F}" name="ANAH_PLAFONDS" displayName="ANAH_PLAFONDS" ref="L1:O7" totalsRowShown="0" headerRowDxfId="19" dataDxfId="18">
  <tableColumns count="4">
    <tableColumn id="1" xr3:uid="{41456E2F-E5E8-4FA0-8884-43062885D22B}" name="Pers." dataDxfId="17"/>
    <tableColumn id="2" xr3:uid="{EEF0FD7A-DCE9-423D-B4F8-9B744883FDC9}" name="Très Modeste" dataDxfId="16"/>
    <tableColumn id="3" xr3:uid="{5BA12538-F190-4D88-9E25-A01E88E54A4F}" name="Modeste" dataDxfId="15"/>
    <tableColumn id="4" xr3:uid="{7DEAAF47-1147-443C-9909-65328167FB91}" name="Intermédiair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ntact@anah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hyperlink" Target="mailto:maryline.martine@anah.fr" TargetMode="External"/><Relationship Id="rId1" Type="http://schemas.openxmlformats.org/officeDocument/2006/relationships/hyperlink" Target="mailto:marius.martin@anah.fr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FC82-8A22-4C4E-92DB-099F4EFDF961}">
  <dimension ref="A2:N48"/>
  <sheetViews>
    <sheetView topLeftCell="A34" zoomScale="138" zoomScaleNormal="130" workbookViewId="0">
      <selection activeCell="B45" sqref="B45"/>
    </sheetView>
  </sheetViews>
  <sheetFormatPr baseColWidth="10" defaultRowHeight="15" x14ac:dyDescent="0.2"/>
  <cols>
    <col min="1" max="1" width="20.6640625" customWidth="1"/>
    <col min="2" max="2" width="54" bestFit="1" customWidth="1"/>
    <col min="4" max="4" width="20.6640625" customWidth="1"/>
    <col min="5" max="5" width="30.6640625" style="58" customWidth="1"/>
    <col min="7" max="7" width="4.6640625" customWidth="1"/>
    <col min="8" max="8" width="33.1640625" customWidth="1"/>
    <col min="9" max="9" width="14.33203125" customWidth="1"/>
    <col min="10" max="10" width="24" customWidth="1"/>
  </cols>
  <sheetData>
    <row r="2" spans="1:14" ht="16" x14ac:dyDescent="0.2">
      <c r="A2" s="3" t="s">
        <v>0</v>
      </c>
      <c r="B2" s="4"/>
      <c r="C2" s="2"/>
      <c r="D2" s="3" t="s">
        <v>280</v>
      </c>
      <c r="E2" s="60"/>
      <c r="G2" s="3" t="s">
        <v>285</v>
      </c>
      <c r="H2" s="60"/>
      <c r="I2" s="60"/>
      <c r="J2" s="3"/>
      <c r="K2" s="60"/>
      <c r="L2" s="3"/>
      <c r="M2" s="60"/>
      <c r="N2" s="3"/>
    </row>
    <row r="3" spans="1:14" ht="16" thickBot="1" x14ac:dyDescent="0.25"/>
    <row r="4" spans="1:14" x14ac:dyDescent="0.2">
      <c r="A4" s="49" t="s">
        <v>375</v>
      </c>
      <c r="B4" s="154" t="str">
        <f>UPPER(B8)</f>
        <v>DUPONT</v>
      </c>
      <c r="D4" s="47" t="s">
        <v>276</v>
      </c>
      <c r="E4" s="47"/>
      <c r="G4" s="118" t="s">
        <v>308</v>
      </c>
      <c r="H4" s="118"/>
      <c r="I4" s="118"/>
      <c r="J4" s="136"/>
      <c r="K4" s="159" t="s">
        <v>25</v>
      </c>
      <c r="L4" s="160"/>
      <c r="M4" s="161" t="s">
        <v>287</v>
      </c>
      <c r="N4" s="160"/>
    </row>
    <row r="5" spans="1:14" ht="16" thickBot="1" x14ac:dyDescent="0.25">
      <c r="A5" s="49" t="s">
        <v>374</v>
      </c>
      <c r="B5" s="124">
        <f ca="1">NOW()</f>
        <v>45631.92512847222</v>
      </c>
      <c r="D5" s="48" t="s">
        <v>31</v>
      </c>
      <c r="E5" s="59" t="s">
        <v>392</v>
      </c>
      <c r="G5" s="110" t="s">
        <v>31</v>
      </c>
      <c r="H5" s="111" t="s">
        <v>286</v>
      </c>
      <c r="I5" s="111" t="s">
        <v>288</v>
      </c>
      <c r="J5" s="111" t="s">
        <v>309</v>
      </c>
      <c r="K5" s="112" t="s">
        <v>26</v>
      </c>
      <c r="L5" s="113" t="s">
        <v>27</v>
      </c>
      <c r="M5" s="114" t="s">
        <v>26</v>
      </c>
      <c r="N5" s="113" t="s">
        <v>27</v>
      </c>
    </row>
    <row r="6" spans="1:14" x14ac:dyDescent="0.2">
      <c r="D6" s="48" t="s">
        <v>4</v>
      </c>
      <c r="E6" s="59" t="s">
        <v>393</v>
      </c>
      <c r="G6" s="67">
        <v>1</v>
      </c>
      <c r="H6" s="95" t="s">
        <v>379</v>
      </c>
      <c r="I6" s="95" t="s">
        <v>364</v>
      </c>
      <c r="J6" s="95" t="s">
        <v>369</v>
      </c>
      <c r="K6" s="6">
        <v>2830</v>
      </c>
      <c r="L6" s="9">
        <v>2985.65</v>
      </c>
      <c r="M6" s="8">
        <f>K6</f>
        <v>2830</v>
      </c>
      <c r="N6" s="7">
        <f>L6</f>
        <v>2985.65</v>
      </c>
    </row>
    <row r="7" spans="1:14" x14ac:dyDescent="0.2">
      <c r="A7" s="47" t="s">
        <v>275</v>
      </c>
      <c r="B7" s="47"/>
      <c r="D7" s="48" t="s">
        <v>9</v>
      </c>
      <c r="E7" s="59" t="s">
        <v>394</v>
      </c>
      <c r="G7" s="68">
        <v>2</v>
      </c>
      <c r="H7" s="96" t="s">
        <v>380</v>
      </c>
      <c r="I7" s="96" t="s">
        <v>365</v>
      </c>
      <c r="J7" s="96" t="s">
        <v>370</v>
      </c>
      <c r="K7" s="6">
        <v>18435.650000000001</v>
      </c>
      <c r="L7" s="9">
        <v>19449.61</v>
      </c>
      <c r="M7" s="8">
        <f t="shared" ref="M7:N9" si="0">K7</f>
        <v>18435.650000000001</v>
      </c>
      <c r="N7" s="7">
        <f t="shared" si="0"/>
        <v>19449.61</v>
      </c>
    </row>
    <row r="8" spans="1:14" x14ac:dyDescent="0.2">
      <c r="A8" s="49" t="s">
        <v>1</v>
      </c>
      <c r="B8" s="44" t="s">
        <v>403</v>
      </c>
      <c r="D8" s="48" t="s">
        <v>10</v>
      </c>
      <c r="E8" s="59" t="s">
        <v>395</v>
      </c>
      <c r="G8" s="68">
        <v>3</v>
      </c>
      <c r="H8" s="96" t="s">
        <v>383</v>
      </c>
      <c r="I8" s="97" t="s">
        <v>366</v>
      </c>
      <c r="J8" s="96" t="s">
        <v>371</v>
      </c>
      <c r="K8" s="6">
        <v>1572</v>
      </c>
      <c r="L8" s="9">
        <v>1658.46</v>
      </c>
      <c r="M8" s="8">
        <f t="shared" si="0"/>
        <v>1572</v>
      </c>
      <c r="N8" s="7">
        <f t="shared" si="0"/>
        <v>1658.46</v>
      </c>
    </row>
    <row r="9" spans="1:14" x14ac:dyDescent="0.2">
      <c r="A9" s="49" t="s">
        <v>2</v>
      </c>
      <c r="B9" s="45" t="s">
        <v>404</v>
      </c>
      <c r="D9" s="49" t="s">
        <v>5</v>
      </c>
      <c r="E9" s="59" t="s">
        <v>396</v>
      </c>
      <c r="G9" s="68">
        <v>4</v>
      </c>
      <c r="H9" s="96" t="s">
        <v>381</v>
      </c>
      <c r="I9" s="96" t="s">
        <v>367</v>
      </c>
      <c r="J9" s="96" t="s">
        <v>372</v>
      </c>
      <c r="K9" s="6">
        <v>1332.61</v>
      </c>
      <c r="L9" s="9">
        <v>1405.9</v>
      </c>
      <c r="M9" s="8">
        <f t="shared" si="0"/>
        <v>1332.61</v>
      </c>
      <c r="N9" s="7">
        <f t="shared" si="0"/>
        <v>1405.9</v>
      </c>
    </row>
    <row r="10" spans="1:14" x14ac:dyDescent="0.2">
      <c r="A10" s="49" t="s">
        <v>12</v>
      </c>
      <c r="B10" s="155" t="s">
        <v>402</v>
      </c>
      <c r="D10" s="49" t="s">
        <v>6</v>
      </c>
      <c r="E10" s="59" t="s">
        <v>397</v>
      </c>
      <c r="G10" s="68">
        <v>5</v>
      </c>
      <c r="H10" s="96" t="s">
        <v>382</v>
      </c>
      <c r="I10" s="96" t="s">
        <v>368</v>
      </c>
      <c r="J10" s="96" t="s">
        <v>373</v>
      </c>
      <c r="K10" s="6">
        <v>3667</v>
      </c>
      <c r="L10" s="9">
        <v>3870.49</v>
      </c>
      <c r="M10" s="8">
        <f t="shared" ref="M10:M12" si="1">K10</f>
        <v>3667</v>
      </c>
      <c r="N10" s="7">
        <f t="shared" ref="N10:N12" si="2">L10</f>
        <v>3870.49</v>
      </c>
    </row>
    <row r="11" spans="1:14" x14ac:dyDescent="0.2">
      <c r="A11" s="49" t="s">
        <v>11</v>
      </c>
      <c r="B11" s="45" t="s">
        <v>391</v>
      </c>
      <c r="D11" s="49" t="s">
        <v>7</v>
      </c>
      <c r="E11" s="59" t="s">
        <v>398</v>
      </c>
      <c r="G11" s="68">
        <v>6</v>
      </c>
      <c r="H11" s="96"/>
      <c r="I11" s="96"/>
      <c r="J11" s="96"/>
      <c r="K11" s="6"/>
      <c r="L11" s="9"/>
      <c r="M11" s="8">
        <f t="shared" si="1"/>
        <v>0</v>
      </c>
      <c r="N11" s="7">
        <f t="shared" si="2"/>
        <v>0</v>
      </c>
    </row>
    <row r="12" spans="1:14" ht="16" thickBot="1" x14ac:dyDescent="0.25">
      <c r="A12" s="49"/>
      <c r="B12" s="51"/>
      <c r="D12" s="49" t="s">
        <v>8</v>
      </c>
      <c r="E12" s="59" t="s">
        <v>233</v>
      </c>
      <c r="G12" s="69">
        <v>7</v>
      </c>
      <c r="H12" s="98"/>
      <c r="I12" s="98"/>
      <c r="J12" s="98"/>
      <c r="K12" s="120"/>
      <c r="L12" s="121"/>
      <c r="M12" s="123">
        <f t="shared" si="1"/>
        <v>0</v>
      </c>
      <c r="N12" s="122">
        <f t="shared" si="2"/>
        <v>0</v>
      </c>
    </row>
    <row r="13" spans="1:14" ht="17" thickTop="1" thickBot="1" x14ac:dyDescent="0.25">
      <c r="A13" s="47" t="s">
        <v>277</v>
      </c>
      <c r="B13" s="47"/>
      <c r="G13" s="99"/>
      <c r="H13" s="99"/>
      <c r="I13" s="99"/>
      <c r="J13" s="99"/>
      <c r="K13" s="100">
        <f>SUM(K5:K12)</f>
        <v>27837.260000000002</v>
      </c>
      <c r="L13" s="101">
        <f t="shared" ref="L13:M13" si="3">SUM(L5:L12)</f>
        <v>29370.11</v>
      </c>
      <c r="M13" s="102">
        <f t="shared" si="3"/>
        <v>27837.260000000002</v>
      </c>
      <c r="N13" s="101">
        <f>SUM(N6:N12)</f>
        <v>29370.11</v>
      </c>
    </row>
    <row r="14" spans="1:14" x14ac:dyDescent="0.2">
      <c r="A14" s="49" t="s">
        <v>31</v>
      </c>
      <c r="B14" s="45" t="s">
        <v>392</v>
      </c>
      <c r="D14" s="47" t="s">
        <v>289</v>
      </c>
      <c r="E14" s="47"/>
    </row>
    <row r="15" spans="1:14" ht="16" thickBot="1" x14ac:dyDescent="0.25">
      <c r="A15" s="49" t="s">
        <v>4</v>
      </c>
      <c r="B15" s="45" t="s">
        <v>393</v>
      </c>
      <c r="D15" s="49" t="s">
        <v>290</v>
      </c>
      <c r="E15" s="70">
        <v>1</v>
      </c>
    </row>
    <row r="16" spans="1:14" x14ac:dyDescent="0.2">
      <c r="A16" s="49" t="s">
        <v>9</v>
      </c>
      <c r="B16" s="45" t="s">
        <v>394</v>
      </c>
      <c r="D16" s="49" t="s">
        <v>291</v>
      </c>
      <c r="E16" s="63">
        <v>4</v>
      </c>
      <c r="G16" s="118" t="s">
        <v>354</v>
      </c>
      <c r="H16" s="118"/>
      <c r="I16" s="118"/>
      <c r="J16" s="118"/>
      <c r="K16" s="118"/>
      <c r="L16" s="118"/>
      <c r="M16" s="140" t="s">
        <v>26</v>
      </c>
      <c r="N16" s="137" t="s">
        <v>27</v>
      </c>
    </row>
    <row r="17" spans="1:14" x14ac:dyDescent="0.2">
      <c r="A17" s="49" t="s">
        <v>10</v>
      </c>
      <c r="B17" s="45" t="s">
        <v>395</v>
      </c>
      <c r="D17" s="49" t="s">
        <v>292</v>
      </c>
      <c r="E17" s="63">
        <v>1875</v>
      </c>
      <c r="G17" s="67">
        <v>1</v>
      </c>
      <c r="H17" s="95" t="s">
        <v>352</v>
      </c>
      <c r="I17" s="95"/>
      <c r="J17" s="95"/>
      <c r="K17" s="95"/>
      <c r="L17" s="95"/>
      <c r="M17" s="141">
        <f>M13</f>
        <v>27837.260000000002</v>
      </c>
      <c r="N17" s="138">
        <f>N13</f>
        <v>29370.11</v>
      </c>
    </row>
    <row r="18" spans="1:14" ht="15" customHeight="1" x14ac:dyDescent="0.2">
      <c r="A18" s="49" t="s">
        <v>5</v>
      </c>
      <c r="B18" s="45" t="s">
        <v>396</v>
      </c>
      <c r="D18" s="49" t="s">
        <v>293</v>
      </c>
      <c r="E18" s="65">
        <v>161</v>
      </c>
      <c r="G18" s="68">
        <v>2</v>
      </c>
      <c r="H18" s="97" t="s">
        <v>353</v>
      </c>
      <c r="I18" s="97"/>
      <c r="J18" s="97"/>
      <c r="K18" s="97"/>
      <c r="L18" s="97"/>
      <c r="M18" s="141">
        <f>K13-M13</f>
        <v>0</v>
      </c>
      <c r="N18" s="138">
        <f>L13-N13</f>
        <v>0</v>
      </c>
    </row>
    <row r="19" spans="1:14" x14ac:dyDescent="0.2">
      <c r="A19" s="49" t="s">
        <v>6</v>
      </c>
      <c r="B19" s="45" t="s">
        <v>397</v>
      </c>
      <c r="G19" s="67">
        <v>1</v>
      </c>
      <c r="H19" s="96" t="s">
        <v>310</v>
      </c>
      <c r="I19" s="96"/>
      <c r="J19" s="96"/>
      <c r="K19" s="95"/>
      <c r="L19" s="95"/>
      <c r="M19" s="141">
        <v>0</v>
      </c>
      <c r="N19" s="138">
        <v>0</v>
      </c>
    </row>
    <row r="20" spans="1:14" ht="15" customHeight="1" x14ac:dyDescent="0.2">
      <c r="A20" s="49" t="s">
        <v>7</v>
      </c>
      <c r="B20" s="45" t="s">
        <v>398</v>
      </c>
      <c r="D20" s="47" t="s">
        <v>14</v>
      </c>
      <c r="E20" s="47"/>
      <c r="G20" s="68">
        <v>2</v>
      </c>
      <c r="H20" s="152" t="s">
        <v>311</v>
      </c>
      <c r="I20" s="97"/>
      <c r="J20" s="97"/>
      <c r="K20" s="97"/>
      <c r="L20" s="97"/>
      <c r="M20" s="141">
        <v>0</v>
      </c>
      <c r="N20" s="138">
        <v>0</v>
      </c>
    </row>
    <row r="21" spans="1:14" ht="16" thickBot="1" x14ac:dyDescent="0.25">
      <c r="A21" s="49" t="s">
        <v>8</v>
      </c>
      <c r="B21" s="45" t="s">
        <v>233</v>
      </c>
      <c r="D21" s="49" t="s">
        <v>282</v>
      </c>
      <c r="E21" s="61">
        <v>45446</v>
      </c>
      <c r="G21" s="68">
        <v>3</v>
      </c>
      <c r="H21" s="96" t="s">
        <v>312</v>
      </c>
      <c r="I21" s="96"/>
      <c r="J21" s="96"/>
      <c r="K21" s="105"/>
      <c r="L21" s="105"/>
      <c r="M21" s="153">
        <v>2000</v>
      </c>
      <c r="N21" s="138">
        <f>M21</f>
        <v>2000</v>
      </c>
    </row>
    <row r="22" spans="1:14" ht="17" thickTop="1" thickBot="1" x14ac:dyDescent="0.25">
      <c r="D22" s="49" t="s">
        <v>283</v>
      </c>
      <c r="E22" s="61">
        <v>45628</v>
      </c>
      <c r="G22" s="115" t="s">
        <v>359</v>
      </c>
      <c r="H22" s="116" t="s">
        <v>360</v>
      </c>
      <c r="I22" s="117"/>
      <c r="J22" s="117"/>
      <c r="K22" s="117"/>
      <c r="L22" s="117"/>
      <c r="M22" s="142">
        <f>SUM(M17:M21)</f>
        <v>29837.260000000002</v>
      </c>
      <c r="N22" s="139">
        <f>SUM(N17:N21)</f>
        <v>31370.11</v>
      </c>
    </row>
    <row r="23" spans="1:14" x14ac:dyDescent="0.2">
      <c r="A23" s="47" t="s">
        <v>313</v>
      </c>
      <c r="B23" s="47"/>
      <c r="D23" s="49" t="s">
        <v>284</v>
      </c>
      <c r="E23" s="61" t="s">
        <v>378</v>
      </c>
    </row>
    <row r="24" spans="1:14" ht="15" customHeight="1" x14ac:dyDescent="0.2">
      <c r="A24" s="49" t="s">
        <v>332</v>
      </c>
      <c r="B24" s="90">
        <v>28000</v>
      </c>
      <c r="G24" s="71" t="s">
        <v>355</v>
      </c>
      <c r="H24" s="71"/>
      <c r="I24" s="71"/>
      <c r="J24" s="71"/>
      <c r="K24" s="71"/>
      <c r="L24" s="71"/>
      <c r="M24" s="71"/>
      <c r="N24" s="71"/>
    </row>
    <row r="25" spans="1:14" x14ac:dyDescent="0.2">
      <c r="A25" s="49" t="s">
        <v>314</v>
      </c>
      <c r="B25" s="63">
        <v>2</v>
      </c>
      <c r="D25" s="46" t="s">
        <v>18</v>
      </c>
      <c r="E25" s="46"/>
      <c r="G25" s="67">
        <v>1</v>
      </c>
      <c r="H25" s="95" t="s">
        <v>336</v>
      </c>
      <c r="I25" s="95"/>
      <c r="J25" s="95"/>
      <c r="K25" s="108" t="s">
        <v>337</v>
      </c>
      <c r="L25" s="108" t="s">
        <v>338</v>
      </c>
      <c r="M25" s="95"/>
      <c r="N25" s="143">
        <f>SUM(N26:N28)</f>
        <v>21086.081999999999</v>
      </c>
    </row>
    <row r="26" spans="1:14" x14ac:dyDescent="0.2">
      <c r="A26" s="49" t="s">
        <v>315</v>
      </c>
      <c r="B26" s="89" t="str">
        <f>Paramètres!R16</f>
        <v>Modeste</v>
      </c>
      <c r="D26" s="49" t="s">
        <v>20</v>
      </c>
      <c r="E26" s="65">
        <v>88</v>
      </c>
      <c r="H26" s="106" t="s">
        <v>334</v>
      </c>
      <c r="K26" s="93">
        <f>Paramètres!T16 + IF(E45="OUI",Paramètres!U16,0)</f>
        <v>0.7</v>
      </c>
      <c r="L26" s="94">
        <f>Paramètres!V16</f>
        <v>55000</v>
      </c>
      <c r="N26" s="144">
        <f>MIN(L26,M13)*K26</f>
        <v>19486.081999999999</v>
      </c>
    </row>
    <row r="27" spans="1:14" x14ac:dyDescent="0.2">
      <c r="A27" s="49" t="s">
        <v>376</v>
      </c>
      <c r="B27" s="44" t="s">
        <v>235</v>
      </c>
      <c r="D27" s="49" t="s">
        <v>21</v>
      </c>
      <c r="E27" s="62" t="s">
        <v>236</v>
      </c>
      <c r="G27" s="109">
        <v>2</v>
      </c>
      <c r="H27" s="107" t="s">
        <v>340</v>
      </c>
      <c r="I27" s="107"/>
      <c r="J27" s="107"/>
      <c r="K27" s="107"/>
      <c r="L27" s="107"/>
      <c r="M27" s="107"/>
      <c r="N27" s="144">
        <f>Paramètres!W16</f>
        <v>1600</v>
      </c>
    </row>
    <row r="28" spans="1:14" ht="17" x14ac:dyDescent="0.25">
      <c r="D28" s="49" t="s">
        <v>28</v>
      </c>
      <c r="E28" s="64">
        <v>330.1</v>
      </c>
      <c r="H28" s="106" t="s">
        <v>335</v>
      </c>
      <c r="N28" s="145"/>
    </row>
    <row r="29" spans="1:14" ht="17" x14ac:dyDescent="0.25">
      <c r="A29" s="47" t="s">
        <v>13</v>
      </c>
      <c r="B29" s="47"/>
      <c r="D29" s="49" t="s">
        <v>29</v>
      </c>
      <c r="E29" s="64">
        <f>15169.5/E26</f>
        <v>172.38068181818181</v>
      </c>
      <c r="G29" s="67">
        <v>3</v>
      </c>
      <c r="H29" s="95" t="s">
        <v>341</v>
      </c>
      <c r="I29" s="95"/>
      <c r="J29" s="95"/>
      <c r="K29" s="95"/>
      <c r="L29" s="95"/>
      <c r="M29" s="95"/>
      <c r="N29" s="143">
        <v>0</v>
      </c>
    </row>
    <row r="30" spans="1:14" ht="17" x14ac:dyDescent="0.25">
      <c r="A30" s="49" t="s">
        <v>279</v>
      </c>
      <c r="B30" s="59" t="s">
        <v>405</v>
      </c>
      <c r="D30" s="49" t="s">
        <v>30</v>
      </c>
      <c r="E30" s="64">
        <v>10.8</v>
      </c>
      <c r="G30" s="67">
        <v>4</v>
      </c>
      <c r="H30" s="95" t="s">
        <v>342</v>
      </c>
      <c r="I30" s="95"/>
      <c r="J30" s="95"/>
      <c r="K30" s="95"/>
      <c r="L30" s="95"/>
      <c r="M30" s="95"/>
      <c r="N30" s="146">
        <v>0</v>
      </c>
    </row>
    <row r="31" spans="1:14" ht="15" customHeight="1" x14ac:dyDescent="0.2">
      <c r="D31" s="49" t="s">
        <v>294</v>
      </c>
      <c r="E31" s="64" t="s">
        <v>295</v>
      </c>
      <c r="G31" s="67">
        <v>5</v>
      </c>
      <c r="H31" s="95" t="s">
        <v>343</v>
      </c>
      <c r="I31" s="95"/>
      <c r="J31" s="95"/>
      <c r="K31" s="95"/>
      <c r="L31" s="95"/>
      <c r="M31" s="95"/>
      <c r="N31" s="146">
        <v>0</v>
      </c>
    </row>
    <row r="32" spans="1:14" ht="16" x14ac:dyDescent="0.2">
      <c r="A32" s="3" t="s">
        <v>17</v>
      </c>
      <c r="B32" s="4"/>
      <c r="G32" s="67">
        <v>6</v>
      </c>
      <c r="H32" s="95" t="s">
        <v>344</v>
      </c>
      <c r="I32" s="95"/>
      <c r="J32" s="95"/>
      <c r="K32" s="95"/>
      <c r="L32" s="95"/>
      <c r="M32" s="95"/>
      <c r="N32" s="143">
        <v>0</v>
      </c>
    </row>
    <row r="33" spans="1:14" x14ac:dyDescent="0.2">
      <c r="D33" s="47" t="s">
        <v>19</v>
      </c>
      <c r="E33" s="135"/>
      <c r="G33" s="67">
        <v>7</v>
      </c>
      <c r="H33" s="95" t="s">
        <v>345</v>
      </c>
      <c r="I33" s="95"/>
      <c r="J33" s="95"/>
      <c r="K33" s="95"/>
      <c r="L33" s="95"/>
      <c r="M33" s="95"/>
      <c r="N33" s="143">
        <v>0</v>
      </c>
    </row>
    <row r="34" spans="1:14" x14ac:dyDescent="0.2">
      <c r="A34" s="49" t="s">
        <v>24</v>
      </c>
      <c r="B34" s="45" t="s">
        <v>390</v>
      </c>
      <c r="G34" s="67">
        <v>8</v>
      </c>
      <c r="H34" s="95" t="s">
        <v>346</v>
      </c>
      <c r="I34" s="95"/>
      <c r="J34" s="95"/>
      <c r="K34" s="95"/>
      <c r="L34" s="95"/>
      <c r="M34" s="95"/>
      <c r="N34" s="143">
        <v>0</v>
      </c>
    </row>
    <row r="35" spans="1:14" x14ac:dyDescent="0.2">
      <c r="A35" s="49" t="s">
        <v>23</v>
      </c>
      <c r="B35" s="44" t="str">
        <f>VLOOKUP(B34,CCCPS_REFERENTS[#All],2,FALSE)</f>
        <v>Marius</v>
      </c>
      <c r="D35" s="49" t="s">
        <v>281</v>
      </c>
      <c r="E35" s="125" t="s">
        <v>222</v>
      </c>
      <c r="G35" s="67">
        <v>9</v>
      </c>
      <c r="H35" s="95" t="s">
        <v>347</v>
      </c>
      <c r="I35" s="95"/>
      <c r="J35" s="95"/>
      <c r="K35" s="95"/>
      <c r="L35" s="95"/>
      <c r="M35" s="95"/>
      <c r="N35" s="143">
        <v>0</v>
      </c>
    </row>
    <row r="36" spans="1:14" ht="16" thickBot="1" x14ac:dyDescent="0.25">
      <c r="A36" s="49" t="s">
        <v>12</v>
      </c>
      <c r="B36" s="44" t="str">
        <f>VLOOKUP(B34,CCCPS_REFERENTS[#All],3,FALSE)</f>
        <v>marius.martin@anah.fr</v>
      </c>
      <c r="D36" s="49" t="s">
        <v>20</v>
      </c>
      <c r="E36" s="65">
        <v>87.5</v>
      </c>
      <c r="G36" s="69">
        <v>10</v>
      </c>
      <c r="H36" s="98" t="s">
        <v>348</v>
      </c>
      <c r="I36" s="98"/>
      <c r="J36" s="98"/>
      <c r="K36" s="98"/>
      <c r="L36" s="98"/>
      <c r="M36" s="98"/>
      <c r="N36" s="147">
        <v>0</v>
      </c>
    </row>
    <row r="37" spans="1:14" ht="16" thickTop="1" x14ac:dyDescent="0.2">
      <c r="A37" s="49" t="s">
        <v>11</v>
      </c>
      <c r="B37" s="45" t="s">
        <v>391</v>
      </c>
      <c r="D37" s="49" t="s">
        <v>21</v>
      </c>
      <c r="E37" s="62" t="s">
        <v>233</v>
      </c>
      <c r="G37" s="115" t="s">
        <v>351</v>
      </c>
      <c r="H37" s="116" t="s">
        <v>349</v>
      </c>
      <c r="I37" s="117"/>
      <c r="J37" s="117"/>
      <c r="K37" s="117"/>
      <c r="L37" s="117"/>
      <c r="M37" s="117"/>
      <c r="N37" s="148">
        <f>N25+SUM(N29:N36)</f>
        <v>21086.081999999999</v>
      </c>
    </row>
    <row r="38" spans="1:14" ht="17" x14ac:dyDescent="0.25">
      <c r="A38" s="49" t="s">
        <v>15</v>
      </c>
      <c r="B38" s="45" t="s">
        <v>400</v>
      </c>
      <c r="D38" s="49" t="s">
        <v>28</v>
      </c>
      <c r="E38" s="64">
        <v>149.5</v>
      </c>
      <c r="G38" s="67">
        <v>12</v>
      </c>
      <c r="H38" s="95" t="s">
        <v>350</v>
      </c>
      <c r="I38" s="95"/>
      <c r="J38" s="95"/>
      <c r="K38" s="95"/>
      <c r="L38" s="95"/>
      <c r="M38" s="95"/>
      <c r="N38" s="146">
        <v>0</v>
      </c>
    </row>
    <row r="39" spans="1:14" ht="17" x14ac:dyDescent="0.25">
      <c r="A39" s="49" t="s">
        <v>16</v>
      </c>
      <c r="B39" s="45" t="s">
        <v>399</v>
      </c>
      <c r="D39" s="49" t="s">
        <v>29</v>
      </c>
      <c r="E39" s="64">
        <v>136.61257142857144</v>
      </c>
    </row>
    <row r="40" spans="1:14" ht="17" x14ac:dyDescent="0.25">
      <c r="A40" s="49" t="s">
        <v>3</v>
      </c>
      <c r="B40" s="45" t="s">
        <v>420</v>
      </c>
      <c r="D40" s="49" t="s">
        <v>30</v>
      </c>
      <c r="E40" s="64">
        <v>4.5</v>
      </c>
      <c r="G40" s="118" t="s">
        <v>356</v>
      </c>
      <c r="H40" s="118"/>
      <c r="I40" s="118"/>
      <c r="J40" s="118"/>
      <c r="K40" s="118"/>
      <c r="L40" s="118"/>
      <c r="M40" s="71"/>
      <c r="N40" s="71"/>
    </row>
    <row r="41" spans="1:14" x14ac:dyDescent="0.2">
      <c r="A41" s="49" t="s">
        <v>9</v>
      </c>
      <c r="B41" s="45" t="s">
        <v>421</v>
      </c>
      <c r="D41" s="49" t="s">
        <v>294</v>
      </c>
      <c r="E41" s="64" t="s">
        <v>301</v>
      </c>
      <c r="G41" s="67">
        <v>1</v>
      </c>
      <c r="H41" s="103" t="s">
        <v>357</v>
      </c>
      <c r="I41" s="103"/>
      <c r="J41" s="103"/>
      <c r="K41" s="95"/>
      <c r="L41" s="95"/>
      <c r="M41" s="95"/>
      <c r="N41" s="149">
        <f>N22-(N37+N38)-N42</f>
        <v>10284.028000000002</v>
      </c>
    </row>
    <row r="42" spans="1:14" x14ac:dyDescent="0.2">
      <c r="A42" s="49" t="s">
        <v>10</v>
      </c>
      <c r="B42" s="45" t="s">
        <v>401</v>
      </c>
      <c r="G42" s="68">
        <v>2</v>
      </c>
      <c r="H42" s="104" t="s">
        <v>358</v>
      </c>
      <c r="I42" s="104"/>
      <c r="J42" s="104"/>
      <c r="K42" s="97"/>
      <c r="L42" s="97"/>
      <c r="M42" s="119"/>
      <c r="N42" s="150">
        <v>0</v>
      </c>
    </row>
    <row r="43" spans="1:14" x14ac:dyDescent="0.2">
      <c r="A43" s="49" t="s">
        <v>22</v>
      </c>
      <c r="B43" s="167"/>
    </row>
    <row r="44" spans="1:14" x14ac:dyDescent="0.2">
      <c r="B44" s="166"/>
      <c r="D44" s="49" t="s">
        <v>307</v>
      </c>
      <c r="E44" s="91">
        <f>CODE(E27)-CODE(E37)</f>
        <v>3</v>
      </c>
      <c r="G44" s="118" t="s">
        <v>361</v>
      </c>
      <c r="H44" s="118"/>
      <c r="I44" s="118"/>
      <c r="J44" s="118"/>
      <c r="K44" s="118"/>
      <c r="L44" s="118"/>
      <c r="M44" s="71"/>
      <c r="N44" s="71"/>
    </row>
    <row r="45" spans="1:14" x14ac:dyDescent="0.2">
      <c r="B45" s="166"/>
      <c r="D45" s="49" t="s">
        <v>339</v>
      </c>
      <c r="E45" s="91" t="str">
        <f>IF(AND(CODE(E27)-64&gt;5,CODE(E37)-64&lt;5),"OUI","NON")</f>
        <v>OUI</v>
      </c>
      <c r="G45" s="67">
        <v>1</v>
      </c>
      <c r="H45" s="157" t="s">
        <v>362</v>
      </c>
      <c r="I45" s="157"/>
      <c r="J45" s="157"/>
      <c r="K45" s="95"/>
      <c r="L45" s="95"/>
      <c r="M45" s="95"/>
      <c r="N45" s="149">
        <f>N37+N38+N41+N42</f>
        <v>31370.11</v>
      </c>
    </row>
    <row r="46" spans="1:14" x14ac:dyDescent="0.2">
      <c r="B46" s="166"/>
      <c r="D46" s="49" t="s">
        <v>304</v>
      </c>
      <c r="E46" s="92">
        <f>1-E38/E28</f>
        <v>0.54710693729172988</v>
      </c>
      <c r="G46" s="68">
        <v>2</v>
      </c>
      <c r="H46" s="158" t="s">
        <v>363</v>
      </c>
      <c r="I46" s="158"/>
      <c r="J46" s="158"/>
      <c r="K46" s="97"/>
      <c r="L46" s="97"/>
      <c r="M46" s="119"/>
      <c r="N46" s="151">
        <f>N22-N45</f>
        <v>0</v>
      </c>
    </row>
    <row r="47" spans="1:14" x14ac:dyDescent="0.2">
      <c r="B47" s="166"/>
      <c r="D47" s="49" t="s">
        <v>305</v>
      </c>
      <c r="E47" s="92">
        <f>1-E39/E29</f>
        <v>0.20749488870995836</v>
      </c>
    </row>
    <row r="48" spans="1:14" x14ac:dyDescent="0.2">
      <c r="B48" s="166"/>
      <c r="D48" s="49" t="s">
        <v>306</v>
      </c>
      <c r="E48" s="92">
        <f>1-E40/E30</f>
        <v>0.58333333333333337</v>
      </c>
    </row>
  </sheetData>
  <mergeCells count="4">
    <mergeCell ref="H45:J45"/>
    <mergeCell ref="H46:J46"/>
    <mergeCell ref="K4:L4"/>
    <mergeCell ref="M4:N4"/>
  </mergeCells>
  <phoneticPr fontId="20" type="noConversion"/>
  <conditionalFormatting sqref="E27">
    <cfRule type="cellIs" dxfId="13" priority="8" operator="equal">
      <formula>"G"</formula>
    </cfRule>
    <cfRule type="cellIs" dxfId="12" priority="13" operator="equal">
      <formula>"B"</formula>
    </cfRule>
    <cfRule type="cellIs" dxfId="11" priority="12" operator="equal">
      <formula>"C"</formula>
    </cfRule>
    <cfRule type="cellIs" dxfId="10" priority="11" operator="equal">
      <formula>"D"</formula>
    </cfRule>
    <cfRule type="cellIs" dxfId="9" priority="10" operator="equal">
      <formula>"E"</formula>
    </cfRule>
    <cfRule type="cellIs" dxfId="8" priority="9" operator="equal">
      <formula>"F"</formula>
    </cfRule>
    <cfRule type="cellIs" dxfId="7" priority="14" operator="equal">
      <formula>"A"</formula>
    </cfRule>
  </conditionalFormatting>
  <conditionalFormatting sqref="E37">
    <cfRule type="cellIs" dxfId="6" priority="7" operator="equal">
      <formula>"A"</formula>
    </cfRule>
    <cfRule type="cellIs" dxfId="5" priority="6" operator="equal">
      <formula>"B"</formula>
    </cfRule>
    <cfRule type="cellIs" dxfId="4" priority="5" operator="equal">
      <formula>"C"</formula>
    </cfRule>
    <cfRule type="cellIs" dxfId="3" priority="4" operator="equal">
      <formula>"D"</formula>
    </cfRule>
    <cfRule type="cellIs" dxfId="2" priority="3" operator="equal">
      <formula>"E"</formula>
    </cfRule>
    <cfRule type="cellIs" dxfId="1" priority="2" operator="equal">
      <formula>"F"</formula>
    </cfRule>
    <cfRule type="cellIs" dxfId="0" priority="1" operator="equal">
      <formula>"G"</formula>
    </cfRule>
  </conditionalFormatting>
  <dataValidations disablePrompts="1" count="2">
    <dataValidation type="list" allowBlank="1" showInputMessage="1" showErrorMessage="1" sqref="E27 E37" xr:uid="{D79FD1B2-98DA-494C-9509-E11EFD2DF545}">
      <formula1>"A,B,C,D,E,F,G"</formula1>
    </dataValidation>
    <dataValidation type="list" allowBlank="1" showInputMessage="1" showErrorMessage="1" sqref="B27" xr:uid="{3E6F1E40-33B5-4540-898C-83B7C7A1625F}">
      <formula1>"PO,PB"</formula1>
    </dataValidation>
  </dataValidations>
  <hyperlinks>
    <hyperlink ref="B10" r:id="rId1" xr:uid="{D38D6F08-7B3E-1149-86E1-43C5545B1E35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61C30A7-EBA3-4A31-8769-2E50DD875173}">
          <x14:formula1>
            <xm:f>Paramètres!$A$2:$A$10</xm:f>
          </x14:formula1>
          <xm:sqref>B34</xm:sqref>
        </x14:dataValidation>
        <x14:dataValidation type="list" allowBlank="1" showInputMessage="1" showErrorMessage="1" xr:uid="{FA5B7E63-7194-42A4-B293-AAF37522A588}">
          <x14:formula1>
            <xm:f>Paramètres!$J$2:$J$10</xm:f>
          </x14:formula1>
          <xm:sqref>E31 E41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4F85-4CDD-4F30-906C-64EEC49D9463}">
  <dimension ref="A1:W16"/>
  <sheetViews>
    <sheetView workbookViewId="0">
      <selection activeCell="C4" sqref="C4"/>
    </sheetView>
  </sheetViews>
  <sheetFormatPr baseColWidth="10" defaultRowHeight="15" x14ac:dyDescent="0.2"/>
  <cols>
    <col min="3" max="3" width="21.33203125" customWidth="1"/>
    <col min="4" max="4" width="18.5" customWidth="1"/>
    <col min="6" max="6" width="4.6640625" customWidth="1"/>
    <col min="7" max="7" width="19.6640625" bestFit="1" customWidth="1"/>
    <col min="8" max="8" width="10.5" bestFit="1" customWidth="1"/>
    <col min="9" max="9" width="4.6640625" customWidth="1"/>
    <col min="10" max="10" width="37.6640625" bestFit="1" customWidth="1"/>
    <col min="12" max="16" width="15.6640625" customWidth="1"/>
    <col min="18" max="23" width="15.6640625" customWidth="1"/>
  </cols>
  <sheetData>
    <row r="1" spans="1:23" x14ac:dyDescent="0.2">
      <c r="A1" s="53" t="s">
        <v>1</v>
      </c>
      <c r="B1" s="53" t="s">
        <v>2</v>
      </c>
      <c r="C1" s="53" t="s">
        <v>12</v>
      </c>
      <c r="D1" s="53" t="s">
        <v>11</v>
      </c>
      <c r="E1" s="53" t="s">
        <v>278</v>
      </c>
      <c r="G1" t="s">
        <v>321</v>
      </c>
      <c r="H1" t="s">
        <v>278</v>
      </c>
      <c r="J1" t="s">
        <v>320</v>
      </c>
      <c r="L1" s="66" t="s">
        <v>331</v>
      </c>
      <c r="M1" s="72" t="s">
        <v>316</v>
      </c>
      <c r="N1" s="72" t="s">
        <v>317</v>
      </c>
      <c r="O1" s="72" t="s">
        <v>318</v>
      </c>
      <c r="R1" s="66" t="s">
        <v>326</v>
      </c>
      <c r="S1" s="66" t="s">
        <v>327</v>
      </c>
      <c r="T1" s="66" t="s">
        <v>328</v>
      </c>
      <c r="U1" s="66" t="s">
        <v>329</v>
      </c>
      <c r="V1" s="66" t="s">
        <v>330</v>
      </c>
      <c r="W1" s="66" t="s">
        <v>333</v>
      </c>
    </row>
    <row r="2" spans="1:23" x14ac:dyDescent="0.2">
      <c r="A2" s="54" t="s">
        <v>390</v>
      </c>
      <c r="B2" s="54" t="s">
        <v>406</v>
      </c>
      <c r="C2" s="156" t="s">
        <v>411</v>
      </c>
      <c r="D2" s="52" t="s">
        <v>408</v>
      </c>
      <c r="E2" s="56" t="s">
        <v>409</v>
      </c>
      <c r="G2" t="s">
        <v>316</v>
      </c>
      <c r="H2" t="s">
        <v>322</v>
      </c>
      <c r="J2" t="s">
        <v>295</v>
      </c>
      <c r="L2" s="66">
        <v>1</v>
      </c>
      <c r="M2" s="74">
        <v>17009</v>
      </c>
      <c r="N2" s="74">
        <v>21805</v>
      </c>
      <c r="O2" s="74">
        <v>30549</v>
      </c>
      <c r="R2" s="66" t="s">
        <v>316</v>
      </c>
      <c r="S2" s="66">
        <v>2</v>
      </c>
      <c r="T2" s="73">
        <v>0.8</v>
      </c>
      <c r="U2" s="73">
        <v>0.1</v>
      </c>
      <c r="V2" s="74">
        <v>40000</v>
      </c>
      <c r="W2" s="74">
        <v>2000</v>
      </c>
    </row>
    <row r="3" spans="1:23" x14ac:dyDescent="0.2">
      <c r="A3" s="54" t="s">
        <v>413</v>
      </c>
      <c r="B3" s="54" t="s">
        <v>412</v>
      </c>
      <c r="C3" s="156" t="s">
        <v>414</v>
      </c>
      <c r="D3" s="52" t="s">
        <v>407</v>
      </c>
      <c r="E3" s="56" t="s">
        <v>410</v>
      </c>
      <c r="G3" t="s">
        <v>317</v>
      </c>
      <c r="H3" t="s">
        <v>323</v>
      </c>
      <c r="J3" t="s">
        <v>296</v>
      </c>
      <c r="L3" s="66">
        <v>2</v>
      </c>
      <c r="M3" s="74">
        <v>24875</v>
      </c>
      <c r="N3" s="74">
        <v>31889</v>
      </c>
      <c r="O3" s="74">
        <v>44907</v>
      </c>
      <c r="R3" s="66" t="s">
        <v>316</v>
      </c>
      <c r="S3" s="66">
        <v>3</v>
      </c>
      <c r="T3" s="73">
        <v>0.8</v>
      </c>
      <c r="U3" s="73">
        <v>0.1</v>
      </c>
      <c r="V3" s="74">
        <v>55000</v>
      </c>
      <c r="W3" s="74">
        <v>2000</v>
      </c>
    </row>
    <row r="4" spans="1:23" x14ac:dyDescent="0.2">
      <c r="A4" s="54"/>
      <c r="B4" s="54"/>
      <c r="C4" s="55"/>
      <c r="D4" s="52"/>
      <c r="E4" s="56"/>
      <c r="G4" t="s">
        <v>318</v>
      </c>
      <c r="H4" t="s">
        <v>324</v>
      </c>
      <c r="J4" t="s">
        <v>297</v>
      </c>
      <c r="L4" s="66">
        <v>3</v>
      </c>
      <c r="M4" s="74">
        <v>29917</v>
      </c>
      <c r="N4" s="74">
        <v>38349</v>
      </c>
      <c r="O4" s="74">
        <v>54071</v>
      </c>
      <c r="R4" s="75" t="s">
        <v>316</v>
      </c>
      <c r="S4" s="75">
        <v>4</v>
      </c>
      <c r="T4" s="76">
        <v>0.8</v>
      </c>
      <c r="U4" s="76">
        <v>0.1</v>
      </c>
      <c r="V4" s="77">
        <v>70000</v>
      </c>
      <c r="W4" s="77">
        <v>2000</v>
      </c>
    </row>
    <row r="5" spans="1:23" x14ac:dyDescent="0.2">
      <c r="A5" s="54"/>
      <c r="B5" s="54"/>
      <c r="C5" s="55"/>
      <c r="D5" s="52"/>
      <c r="E5" s="56"/>
      <c r="G5" t="s">
        <v>319</v>
      </c>
      <c r="H5" t="s">
        <v>325</v>
      </c>
      <c r="J5" t="s">
        <v>298</v>
      </c>
      <c r="L5" s="66">
        <v>4</v>
      </c>
      <c r="M5" s="74">
        <v>34948</v>
      </c>
      <c r="N5" s="74">
        <v>44802</v>
      </c>
      <c r="O5" s="74">
        <v>63235</v>
      </c>
      <c r="R5" s="66" t="s">
        <v>317</v>
      </c>
      <c r="S5" s="66">
        <v>2</v>
      </c>
      <c r="T5" s="73">
        <v>0.6</v>
      </c>
      <c r="U5" s="73">
        <v>0.1</v>
      </c>
      <c r="V5" s="74">
        <v>40000</v>
      </c>
      <c r="W5" s="74">
        <v>1600</v>
      </c>
    </row>
    <row r="6" spans="1:23" x14ac:dyDescent="0.2">
      <c r="A6" s="54"/>
      <c r="B6" s="54"/>
      <c r="C6" s="55"/>
      <c r="D6" s="52"/>
      <c r="E6" s="56"/>
      <c r="J6" t="s">
        <v>299</v>
      </c>
      <c r="L6" s="66">
        <v>5</v>
      </c>
      <c r="M6" s="74">
        <v>40002</v>
      </c>
      <c r="N6" s="74">
        <v>51281</v>
      </c>
      <c r="O6" s="74">
        <v>72400</v>
      </c>
      <c r="R6" s="66" t="s">
        <v>317</v>
      </c>
      <c r="S6" s="66">
        <v>3</v>
      </c>
      <c r="T6" s="73">
        <v>0.6</v>
      </c>
      <c r="U6" s="73">
        <v>0.1</v>
      </c>
      <c r="V6" s="74">
        <v>55000</v>
      </c>
      <c r="W6" s="74">
        <v>1600</v>
      </c>
    </row>
    <row r="7" spans="1:23" x14ac:dyDescent="0.2">
      <c r="A7" s="54"/>
      <c r="B7" s="54"/>
      <c r="C7" s="55"/>
      <c r="D7" s="52"/>
      <c r="E7" s="56"/>
      <c r="J7" t="s">
        <v>300</v>
      </c>
      <c r="L7" s="66">
        <v>6</v>
      </c>
      <c r="M7" s="74">
        <v>5045</v>
      </c>
      <c r="N7" s="74">
        <v>6462</v>
      </c>
      <c r="O7" s="74">
        <v>9165</v>
      </c>
      <c r="R7" s="75" t="s">
        <v>317</v>
      </c>
      <c r="S7" s="75">
        <v>4</v>
      </c>
      <c r="T7" s="76">
        <v>0.6</v>
      </c>
      <c r="U7" s="76">
        <v>0.1</v>
      </c>
      <c r="V7" s="77">
        <v>70000</v>
      </c>
      <c r="W7" s="77">
        <v>1600</v>
      </c>
    </row>
    <row r="8" spans="1:23" x14ac:dyDescent="0.2">
      <c r="A8" s="54"/>
      <c r="B8" s="54"/>
      <c r="C8" s="55"/>
      <c r="D8" s="52"/>
      <c r="E8" s="56"/>
      <c r="J8" t="s">
        <v>301</v>
      </c>
      <c r="R8" s="66" t="s">
        <v>318</v>
      </c>
      <c r="S8" s="66">
        <v>2</v>
      </c>
      <c r="T8" s="73">
        <v>0.45</v>
      </c>
      <c r="U8" s="73">
        <v>0.1</v>
      </c>
      <c r="V8" s="74">
        <v>40000</v>
      </c>
      <c r="W8" s="74">
        <v>800</v>
      </c>
    </row>
    <row r="9" spans="1:23" x14ac:dyDescent="0.2">
      <c r="A9" s="54"/>
      <c r="B9" s="54"/>
      <c r="C9" s="55"/>
      <c r="D9" s="52"/>
      <c r="E9" s="56"/>
      <c r="J9" t="s">
        <v>302</v>
      </c>
      <c r="L9" s="78" t="s">
        <v>331</v>
      </c>
      <c r="M9" s="78" t="s">
        <v>316</v>
      </c>
      <c r="N9" s="78" t="s">
        <v>317</v>
      </c>
      <c r="O9" s="78" t="s">
        <v>318</v>
      </c>
      <c r="P9" s="66"/>
      <c r="R9" s="66" t="s">
        <v>318</v>
      </c>
      <c r="S9" s="66">
        <v>3</v>
      </c>
      <c r="T9" s="73">
        <v>0.5</v>
      </c>
      <c r="U9" s="73">
        <v>0.1</v>
      </c>
      <c r="V9" s="74">
        <v>55000</v>
      </c>
      <c r="W9" s="74">
        <v>800</v>
      </c>
    </row>
    <row r="10" spans="1:23" x14ac:dyDescent="0.2">
      <c r="A10" s="54"/>
      <c r="B10" s="54"/>
      <c r="C10" s="55"/>
      <c r="D10" s="52"/>
      <c r="E10" s="57"/>
      <c r="J10" t="s">
        <v>303</v>
      </c>
      <c r="L10" s="88">
        <f>Suivi!B25</f>
        <v>2</v>
      </c>
      <c r="M10" s="79">
        <f>VLOOKUP(MIN(5,$L10),ANAH_PLAFONDS[#All],2,0)+MAX(0,$L10-5)*M7</f>
        <v>24875</v>
      </c>
      <c r="N10" s="79">
        <f>VLOOKUP(MIN(5,$L10),ANAH_PLAFONDS[#All],3,0)+MAX(0,$L10-5)*N7</f>
        <v>31889</v>
      </c>
      <c r="O10" s="79">
        <f>VLOOKUP(MIN(5,$L10),ANAH_PLAFONDS[#All],4,0)+MAX(0,$L10-5)*O7</f>
        <v>44907</v>
      </c>
      <c r="P10" s="66"/>
      <c r="R10" s="75" t="s">
        <v>318</v>
      </c>
      <c r="S10" s="75">
        <v>4</v>
      </c>
      <c r="T10" s="76">
        <v>0.5</v>
      </c>
      <c r="U10" s="76">
        <v>0.1</v>
      </c>
      <c r="V10" s="77">
        <v>70000</v>
      </c>
      <c r="W10" s="77">
        <v>800</v>
      </c>
    </row>
    <row r="11" spans="1:23" x14ac:dyDescent="0.2">
      <c r="L11" s="66"/>
      <c r="M11" s="66"/>
      <c r="N11" s="66"/>
      <c r="O11" s="66"/>
      <c r="P11" s="66"/>
      <c r="R11" s="66" t="s">
        <v>319</v>
      </c>
      <c r="S11" s="66">
        <v>2</v>
      </c>
      <c r="T11" s="80">
        <v>0.3</v>
      </c>
      <c r="U11" s="80">
        <v>0.1</v>
      </c>
      <c r="V11" s="74">
        <v>40000</v>
      </c>
      <c r="W11" s="74">
        <v>400</v>
      </c>
    </row>
    <row r="12" spans="1:23" x14ac:dyDescent="0.2">
      <c r="L12" s="78" t="s">
        <v>332</v>
      </c>
      <c r="M12" s="134" t="b">
        <f>($L13&lt;=M10)</f>
        <v>0</v>
      </c>
      <c r="N12" s="134" t="b">
        <f>AND($L13&gt;M10,$L13&lt;=N10)</f>
        <v>1</v>
      </c>
      <c r="O12" s="134" t="b">
        <f>AND($L13&gt;N10,$L13&lt;=O10)</f>
        <v>0</v>
      </c>
      <c r="P12" s="134" t="b">
        <f>($L13&gt;O10)</f>
        <v>0</v>
      </c>
      <c r="R12" s="66" t="s">
        <v>319</v>
      </c>
      <c r="S12" s="66">
        <v>3</v>
      </c>
      <c r="T12" s="80">
        <v>0.35</v>
      </c>
      <c r="U12" s="80">
        <v>0.1</v>
      </c>
      <c r="V12" s="74">
        <v>55000</v>
      </c>
      <c r="W12" s="74">
        <v>400</v>
      </c>
    </row>
    <row r="13" spans="1:23" x14ac:dyDescent="0.2">
      <c r="L13" s="87">
        <f>Suivi!B24</f>
        <v>28000</v>
      </c>
      <c r="M13" s="78" t="s">
        <v>316</v>
      </c>
      <c r="N13" s="78" t="s">
        <v>317</v>
      </c>
      <c r="O13" s="78" t="s">
        <v>318</v>
      </c>
      <c r="P13" s="78" t="s">
        <v>319</v>
      </c>
      <c r="R13" s="66" t="s">
        <v>319</v>
      </c>
      <c r="S13" s="66">
        <v>4</v>
      </c>
      <c r="T13" s="80">
        <v>0.35</v>
      </c>
      <c r="U13" s="80">
        <v>0.1</v>
      </c>
      <c r="V13" s="74">
        <v>70000</v>
      </c>
      <c r="W13" s="74">
        <v>400</v>
      </c>
    </row>
    <row r="14" spans="1:23" x14ac:dyDescent="0.2">
      <c r="L14" s="66"/>
      <c r="M14" s="66"/>
      <c r="N14" s="66"/>
      <c r="O14" s="66"/>
      <c r="P14" s="66"/>
      <c r="R14" s="66"/>
      <c r="S14" s="66"/>
      <c r="T14" s="66"/>
      <c r="U14" s="66"/>
      <c r="V14" s="66"/>
    </row>
    <row r="15" spans="1:23" x14ac:dyDescent="0.2">
      <c r="L15" s="78" t="s">
        <v>326</v>
      </c>
      <c r="M15" s="66"/>
      <c r="N15" s="66"/>
      <c r="O15" s="66"/>
      <c r="P15" s="66"/>
      <c r="R15" s="81" t="s">
        <v>326</v>
      </c>
      <c r="S15" s="82" t="s">
        <v>327</v>
      </c>
      <c r="T15" s="82" t="s">
        <v>328</v>
      </c>
      <c r="U15" s="82" t="s">
        <v>329</v>
      </c>
      <c r="V15" s="83" t="s">
        <v>330</v>
      </c>
      <c r="W15" s="78" t="s">
        <v>333</v>
      </c>
    </row>
    <row r="16" spans="1:23" x14ac:dyDescent="0.2">
      <c r="L16" s="85" t="str">
        <f>HLOOKUP(TRUE,M12:P13,2,0)</f>
        <v>Modeste</v>
      </c>
      <c r="M16" s="66"/>
      <c r="N16" s="66"/>
      <c r="O16" s="66"/>
      <c r="P16" s="66"/>
      <c r="R16" s="85" t="str">
        <f>L16</f>
        <v>Modeste</v>
      </c>
      <c r="S16" s="86">
        <f>Suivi!E44</f>
        <v>3</v>
      </c>
      <c r="T16" s="84">
        <f t="array" ref="T16">VLOOKUP($R16&amp;"_"&amp;MIN($S16,4),CHOOSE({1,2,3,4},ANAH_MPRA[Catégorie]&amp;"_"&amp;ANAH_MPRA[Saut Classe],ANAH_MPRA[Taux],ANAH_MPRA[Bonus Passoire],ANAH_MPRA[Plafond]),2,0)</f>
        <v>0.6</v>
      </c>
      <c r="U16" s="84">
        <f t="array" ref="U16">VLOOKUP($R16&amp;"_"&amp;MIN($S16,4),CHOOSE({1,2,3,4},ANAH_MPRA[Catégorie]&amp;"_"&amp;ANAH_MPRA[Saut Classe],ANAH_MPRA[Taux],ANAH_MPRA[Bonus Passoire],ANAH_MPRA[Plafond]),3,0)</f>
        <v>0.1</v>
      </c>
      <c r="V16" s="79">
        <f t="array" ref="V16">VLOOKUP($R16&amp;"_"&amp;MIN($S16,4),CHOOSE({1,2,3,4},ANAH_MPRA[Catégorie]&amp;"_"&amp;ANAH_MPRA[Saut Classe],ANAH_MPRA[Taux],ANAH_MPRA[Bonus Passoire],ANAH_MPRA[Plafond]),4,0)</f>
        <v>55000</v>
      </c>
      <c r="W16" s="79">
        <f t="array" ref="W16">VLOOKUP($R16&amp;"_"&amp;MIN($S16,4),CHOOSE({1,2,3,4,5},ANAH_MPRA[Catégorie]&amp;"_"&amp;ANAH_MPRA[Saut Classe],ANAH_MPRA[Taux],ANAH_MPRA[Bonus Passoire],ANAH_MPRA[Plafond],ANAH_MPRA[AMO]),5,0)</f>
        <v>1600</v>
      </c>
    </row>
  </sheetData>
  <phoneticPr fontId="20" type="noConversion"/>
  <hyperlinks>
    <hyperlink ref="C2" r:id="rId1" xr:uid="{152E270A-FCA4-4279-8F9D-9F051AFCC2AB}"/>
    <hyperlink ref="C3" r:id="rId2" xr:uid="{7827C85F-92B5-4FC6-824B-69159EB06DDC}"/>
  </hyperlinks>
  <pageMargins left="0.7" right="0.7" top="0.75" bottom="0.75" header="0.3" footer="0.3"/>
  <legacyDrawing r:id="rId3"/>
  <tableParts count="5"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5FA7-A978-47CE-94D4-C4BB5279D8D1}">
  <dimension ref="A1:I42"/>
  <sheetViews>
    <sheetView workbookViewId="0">
      <selection activeCell="D1" sqref="D1"/>
    </sheetView>
  </sheetViews>
  <sheetFormatPr baseColWidth="10" defaultRowHeight="15" x14ac:dyDescent="0.2"/>
  <cols>
    <col min="1" max="1" width="62.1640625" bestFit="1" customWidth="1"/>
    <col min="2" max="2" width="40.6640625" style="15" customWidth="1"/>
    <col min="3" max="3" width="23.33203125" style="23" bestFit="1" customWidth="1"/>
    <col min="5" max="5" width="15.5" style="18" bestFit="1" customWidth="1"/>
  </cols>
  <sheetData>
    <row r="1" spans="1:6" ht="16" x14ac:dyDescent="0.2">
      <c r="A1" s="20" t="s">
        <v>226</v>
      </c>
      <c r="B1" s="162" t="s">
        <v>384</v>
      </c>
      <c r="C1" s="162"/>
    </row>
    <row r="2" spans="1:6" ht="16" x14ac:dyDescent="0.2">
      <c r="A2" s="20" t="s">
        <v>227</v>
      </c>
      <c r="B2" s="162" t="str">
        <f>UPPER(Suivi!B4)&amp;"_PLAN_FINANCEMENT_pre.pdf"</f>
        <v>DUPONT_PLAN_FINANCEMENT_pre.pdf</v>
      </c>
      <c r="C2" s="162"/>
    </row>
    <row r="3" spans="1:6" ht="16" x14ac:dyDescent="0.2">
      <c r="A3" s="3" t="s">
        <v>223</v>
      </c>
      <c r="B3" s="21" t="s">
        <v>224</v>
      </c>
      <c r="C3" s="28" t="s">
        <v>225</v>
      </c>
    </row>
    <row r="4" spans="1:6" x14ac:dyDescent="0.2">
      <c r="A4" s="163" t="s">
        <v>59</v>
      </c>
      <c r="B4" s="163"/>
      <c r="C4" s="163"/>
    </row>
    <row r="5" spans="1:6" x14ac:dyDescent="0.2">
      <c r="A5" t="s">
        <v>1</v>
      </c>
      <c r="B5" s="15" t="s">
        <v>187</v>
      </c>
      <c r="C5" s="23" t="str">
        <f>UPPER(Suivi!B8)</f>
        <v>DUPONT</v>
      </c>
    </row>
    <row r="6" spans="1:6" x14ac:dyDescent="0.2">
      <c r="A6" t="s">
        <v>2</v>
      </c>
      <c r="B6" s="15" t="s">
        <v>188</v>
      </c>
      <c r="C6" s="29" t="str">
        <f>Suivi!B9</f>
        <v>Jean</v>
      </c>
    </row>
    <row r="7" spans="1:6" x14ac:dyDescent="0.2">
      <c r="A7" t="s">
        <v>3</v>
      </c>
      <c r="B7" s="15" t="s">
        <v>189</v>
      </c>
      <c r="C7" s="23" t="str">
        <f>IF(Suivi!E5="",Suivi!E6,_xlfn.CONCAT(Suivi!E5,", ",Suivi!E6))</f>
        <v>8, avenue de l'Opéra</v>
      </c>
      <c r="D7" s="29"/>
    </row>
    <row r="8" spans="1:6" x14ac:dyDescent="0.2">
      <c r="A8" t="s">
        <v>32</v>
      </c>
      <c r="B8" s="15" t="s">
        <v>190</v>
      </c>
      <c r="C8" s="23" t="str">
        <f>IF(Suivi!E9="","",Suivi!E9)</f>
        <v>1</v>
      </c>
    </row>
    <row r="9" spans="1:6" x14ac:dyDescent="0.2">
      <c r="A9" t="s">
        <v>6</v>
      </c>
      <c r="B9" s="15" t="s">
        <v>191</v>
      </c>
      <c r="C9" s="23" t="str">
        <f>IF(Suivi!E10="","",Suivi!E10)</f>
        <v>10</v>
      </c>
    </row>
    <row r="10" spans="1:6" x14ac:dyDescent="0.2">
      <c r="A10" t="s">
        <v>7</v>
      </c>
      <c r="B10" s="15" t="s">
        <v>192</v>
      </c>
      <c r="C10" s="23" t="str">
        <f>IF(Suivi!E11="","",Suivi!E11)</f>
        <v>B</v>
      </c>
    </row>
    <row r="11" spans="1:6" x14ac:dyDescent="0.2">
      <c r="A11" t="s">
        <v>8</v>
      </c>
      <c r="B11" s="15" t="s">
        <v>193</v>
      </c>
      <c r="C11" s="23" t="str">
        <f>IF(Suivi!E12="","",Suivi!E12)</f>
        <v>C</v>
      </c>
    </row>
    <row r="12" spans="1:6" x14ac:dyDescent="0.2">
      <c r="A12" t="s">
        <v>9</v>
      </c>
      <c r="B12" s="15" t="s">
        <v>194</v>
      </c>
      <c r="C12" s="29" t="str">
        <f>Suivi!E7</f>
        <v>75008</v>
      </c>
    </row>
    <row r="13" spans="1:6" x14ac:dyDescent="0.2">
      <c r="A13" t="s">
        <v>10</v>
      </c>
      <c r="B13" s="15" t="s">
        <v>195</v>
      </c>
      <c r="C13" s="29" t="str">
        <f>Suivi!E8</f>
        <v>Paris</v>
      </c>
    </row>
    <row r="14" spans="1:6" x14ac:dyDescent="0.2">
      <c r="A14" t="s">
        <v>33</v>
      </c>
      <c r="B14" s="15" t="s">
        <v>196</v>
      </c>
      <c r="C14" s="23" t="str">
        <f>SUBSTITUTE(Suivi!B11," ","")</f>
        <v>0808800700</v>
      </c>
    </row>
    <row r="15" spans="1:6" ht="16" thickBot="1" x14ac:dyDescent="0.25">
      <c r="A15" t="s">
        <v>34</v>
      </c>
      <c r="B15" s="15" t="s">
        <v>197</v>
      </c>
      <c r="C15" s="29" t="str">
        <f>Suivi!B10</f>
        <v>contact@anah.fr</v>
      </c>
    </row>
    <row r="16" spans="1:6" ht="16" thickBot="1" x14ac:dyDescent="0.25">
      <c r="A16" s="163" t="s">
        <v>60</v>
      </c>
      <c r="B16" s="163"/>
      <c r="C16" s="163"/>
      <c r="E16" s="40" t="s">
        <v>228</v>
      </c>
      <c r="F16" s="37" t="s">
        <v>229</v>
      </c>
    </row>
    <row r="17" spans="1:9" x14ac:dyDescent="0.2">
      <c r="A17" t="s">
        <v>35</v>
      </c>
      <c r="B17" s="15" t="s">
        <v>198</v>
      </c>
      <c r="C17" s="24" t="str">
        <f>REPT(" ",5-LEN(F17))&amp;F17</f>
        <v>27837</v>
      </c>
      <c r="D17" t="s">
        <v>26</v>
      </c>
      <c r="E17" s="132">
        <f>Suivi!M17+Suivi!M18</f>
        <v>27837.260000000002</v>
      </c>
      <c r="F17" s="38" t="str">
        <f>TEXT(E17,"#0")</f>
        <v>27837</v>
      </c>
    </row>
    <row r="18" spans="1:9" x14ac:dyDescent="0.2">
      <c r="A18" t="s">
        <v>36</v>
      </c>
      <c r="B18" s="15" t="s">
        <v>199</v>
      </c>
      <c r="C18" s="41" t="str">
        <f t="shared" ref="C18:C35" si="0">REPT(" ",5-LEN(F18))&amp;F18</f>
        <v xml:space="preserve"> 2000</v>
      </c>
      <c r="D18" t="s">
        <v>26</v>
      </c>
      <c r="E18" s="132">
        <f>Suivi!M21</f>
        <v>2000</v>
      </c>
      <c r="F18" s="38" t="str">
        <f t="shared" ref="F18:F35" si="1">TEXT(E18,"#0")</f>
        <v>2000</v>
      </c>
    </row>
    <row r="19" spans="1:9" x14ac:dyDescent="0.2">
      <c r="A19" s="5" t="s">
        <v>37</v>
      </c>
      <c r="B19" s="16" t="s">
        <v>200</v>
      </c>
      <c r="C19" s="42" t="str">
        <f t="shared" si="0"/>
        <v xml:space="preserve">    0</v>
      </c>
      <c r="D19" t="s">
        <v>26</v>
      </c>
      <c r="E19" s="132">
        <f>Suivi!M19+Suivi!M20</f>
        <v>0</v>
      </c>
      <c r="F19" s="38" t="str">
        <f t="shared" si="1"/>
        <v>0</v>
      </c>
    </row>
    <row r="20" spans="1:9" x14ac:dyDescent="0.2">
      <c r="A20" s="1" t="s">
        <v>38</v>
      </c>
      <c r="B20" s="17" t="s">
        <v>201</v>
      </c>
      <c r="C20" s="43" t="str">
        <f t="shared" si="0"/>
        <v>29837</v>
      </c>
      <c r="D20" s="1" t="s">
        <v>26</v>
      </c>
      <c r="E20" s="132">
        <f>Suivi!M22</f>
        <v>29837.260000000002</v>
      </c>
      <c r="F20" s="38" t="str">
        <f t="shared" si="1"/>
        <v>29837</v>
      </c>
      <c r="I20" s="24"/>
    </row>
    <row r="21" spans="1:9" x14ac:dyDescent="0.2">
      <c r="A21" s="1" t="s">
        <v>39</v>
      </c>
      <c r="B21" s="17" t="s">
        <v>202</v>
      </c>
      <c r="C21" s="43" t="str">
        <f t="shared" si="0"/>
        <v>31370</v>
      </c>
      <c r="D21" s="1" t="s">
        <v>27</v>
      </c>
      <c r="E21" s="132">
        <f>Suivi!N22</f>
        <v>31370.11</v>
      </c>
      <c r="F21" s="38" t="str">
        <f t="shared" si="1"/>
        <v>31370</v>
      </c>
      <c r="I21" s="24"/>
    </row>
    <row r="22" spans="1:9" x14ac:dyDescent="0.2">
      <c r="A22" t="s">
        <v>40</v>
      </c>
      <c r="B22" s="15" t="s">
        <v>203</v>
      </c>
      <c r="C22" s="41" t="str">
        <f t="shared" si="0"/>
        <v xml:space="preserve">    0</v>
      </c>
      <c r="E22" s="132">
        <f>Suivi!N42</f>
        <v>0</v>
      </c>
      <c r="F22" s="38" t="str">
        <f t="shared" si="1"/>
        <v>0</v>
      </c>
      <c r="I22" s="24"/>
    </row>
    <row r="23" spans="1:9" x14ac:dyDescent="0.2">
      <c r="A23" t="s">
        <v>41</v>
      </c>
      <c r="B23" s="15" t="s">
        <v>204</v>
      </c>
      <c r="C23" s="41" t="str">
        <f t="shared" si="0"/>
        <v>10284</v>
      </c>
      <c r="E23" s="132">
        <f>Suivi!N41</f>
        <v>10284.028000000002</v>
      </c>
      <c r="F23" s="38" t="str">
        <f t="shared" si="1"/>
        <v>10284</v>
      </c>
      <c r="I23" s="24"/>
    </row>
    <row r="24" spans="1:9" x14ac:dyDescent="0.2">
      <c r="A24" t="s">
        <v>42</v>
      </c>
      <c r="B24" s="15" t="s">
        <v>205</v>
      </c>
      <c r="C24" s="41" t="str">
        <f t="shared" si="0"/>
        <v>21086</v>
      </c>
      <c r="E24" s="132">
        <f>Suivi!N25</f>
        <v>21086.081999999999</v>
      </c>
      <c r="F24" s="38" t="str">
        <f t="shared" si="1"/>
        <v>21086</v>
      </c>
      <c r="I24" s="24"/>
    </row>
    <row r="25" spans="1:9" x14ac:dyDescent="0.2">
      <c r="A25" t="s">
        <v>43</v>
      </c>
      <c r="B25" s="15" t="s">
        <v>206</v>
      </c>
      <c r="C25" s="41" t="str">
        <f t="shared" si="0"/>
        <v xml:space="preserve">    0</v>
      </c>
      <c r="E25" s="132"/>
      <c r="F25" s="38" t="str">
        <f t="shared" si="1"/>
        <v>0</v>
      </c>
    </row>
    <row r="26" spans="1:9" x14ac:dyDescent="0.2">
      <c r="A26" t="s">
        <v>44</v>
      </c>
      <c r="B26" s="15" t="s">
        <v>207</v>
      </c>
      <c r="C26" s="41" t="str">
        <f t="shared" si="0"/>
        <v xml:space="preserve">    0</v>
      </c>
      <c r="E26" s="132">
        <f>Suivi!N29+Suivi!N30</f>
        <v>0</v>
      </c>
      <c r="F26" s="38" t="str">
        <f t="shared" si="1"/>
        <v>0</v>
      </c>
    </row>
    <row r="27" spans="1:9" x14ac:dyDescent="0.2">
      <c r="A27" t="s">
        <v>45</v>
      </c>
      <c r="B27" s="15" t="s">
        <v>208</v>
      </c>
      <c r="C27" s="41" t="str">
        <f t="shared" si="0"/>
        <v xml:space="preserve">    0</v>
      </c>
      <c r="E27" s="132">
        <f>Suivi!N31</f>
        <v>0</v>
      </c>
      <c r="F27" s="38" t="str">
        <f t="shared" si="1"/>
        <v>0</v>
      </c>
    </row>
    <row r="28" spans="1:9" x14ac:dyDescent="0.2">
      <c r="A28" t="s">
        <v>46</v>
      </c>
      <c r="B28" s="15" t="s">
        <v>209</v>
      </c>
      <c r="C28" s="41" t="str">
        <f t="shared" si="0"/>
        <v xml:space="preserve">    0</v>
      </c>
      <c r="E28" s="132">
        <f>Suivi!N32</f>
        <v>0</v>
      </c>
      <c r="F28" s="38" t="str">
        <f t="shared" si="1"/>
        <v>0</v>
      </c>
    </row>
    <row r="29" spans="1:9" x14ac:dyDescent="0.2">
      <c r="A29" t="s">
        <v>47</v>
      </c>
      <c r="B29" s="15" t="s">
        <v>210</v>
      </c>
      <c r="C29" s="41" t="str">
        <f t="shared" si="0"/>
        <v xml:space="preserve">    0</v>
      </c>
      <c r="E29" s="132">
        <f>Suivi!N33</f>
        <v>0</v>
      </c>
      <c r="F29" s="38" t="str">
        <f t="shared" si="1"/>
        <v>0</v>
      </c>
    </row>
    <row r="30" spans="1:9" x14ac:dyDescent="0.2">
      <c r="A30" t="s">
        <v>48</v>
      </c>
      <c r="B30" s="15" t="s">
        <v>211</v>
      </c>
      <c r="C30" s="41" t="str">
        <f t="shared" si="0"/>
        <v xml:space="preserve">    0</v>
      </c>
      <c r="E30" s="132">
        <f>Suivi!N34</f>
        <v>0</v>
      </c>
      <c r="F30" s="38" t="str">
        <f t="shared" si="1"/>
        <v>0</v>
      </c>
    </row>
    <row r="31" spans="1:9" x14ac:dyDescent="0.2">
      <c r="A31" t="s">
        <v>49</v>
      </c>
      <c r="B31" s="15" t="s">
        <v>212</v>
      </c>
      <c r="C31" s="41" t="str">
        <f t="shared" si="0"/>
        <v xml:space="preserve">    0</v>
      </c>
      <c r="E31" s="132">
        <f>Suivi!N35</f>
        <v>0</v>
      </c>
      <c r="F31" s="38" t="str">
        <f t="shared" si="1"/>
        <v>0</v>
      </c>
    </row>
    <row r="32" spans="1:9" x14ac:dyDescent="0.2">
      <c r="A32" s="5" t="s">
        <v>50</v>
      </c>
      <c r="B32" s="16" t="s">
        <v>213</v>
      </c>
      <c r="C32" s="42" t="str">
        <f t="shared" si="0"/>
        <v xml:space="preserve">    0</v>
      </c>
      <c r="E32" s="132">
        <f>Suivi!N36</f>
        <v>0</v>
      </c>
      <c r="F32" s="38" t="str">
        <f t="shared" si="1"/>
        <v>0</v>
      </c>
    </row>
    <row r="33" spans="1:6" x14ac:dyDescent="0.2">
      <c r="A33" s="1" t="s">
        <v>51</v>
      </c>
      <c r="B33" s="17" t="s">
        <v>214</v>
      </c>
      <c r="C33" s="43" t="str">
        <f t="shared" si="0"/>
        <v>21086</v>
      </c>
      <c r="E33" s="132">
        <f>Suivi!N37</f>
        <v>21086.081999999999</v>
      </c>
      <c r="F33" s="38" t="str">
        <f t="shared" si="1"/>
        <v>21086</v>
      </c>
    </row>
    <row r="34" spans="1:6" x14ac:dyDescent="0.2">
      <c r="A34" t="s">
        <v>52</v>
      </c>
      <c r="B34" s="15" t="s">
        <v>215</v>
      </c>
      <c r="C34" s="41" t="str">
        <f t="shared" si="0"/>
        <v xml:space="preserve">    0</v>
      </c>
      <c r="E34" s="132">
        <f>Suivi!N38</f>
        <v>0</v>
      </c>
      <c r="F34" s="38" t="str">
        <f t="shared" si="1"/>
        <v>0</v>
      </c>
    </row>
    <row r="35" spans="1:6" ht="16" thickBot="1" x14ac:dyDescent="0.25">
      <c r="A35" s="1" t="s">
        <v>53</v>
      </c>
      <c r="B35" s="17" t="s">
        <v>216</v>
      </c>
      <c r="C35" s="43" t="str">
        <f t="shared" si="0"/>
        <v>31370</v>
      </c>
      <c r="E35" s="133">
        <f>Suivi!N45</f>
        <v>31370.11</v>
      </c>
      <c r="F35" s="39" t="str">
        <f t="shared" si="1"/>
        <v>31370</v>
      </c>
    </row>
    <row r="36" spans="1:6" x14ac:dyDescent="0.2">
      <c r="A36" s="163" t="s">
        <v>61</v>
      </c>
      <c r="B36" s="163"/>
      <c r="C36" s="163"/>
      <c r="E36" s="26"/>
      <c r="F36" s="27"/>
    </row>
    <row r="37" spans="1:6" x14ac:dyDescent="0.2">
      <c r="A37" t="s">
        <v>56</v>
      </c>
      <c r="B37" s="15" t="s">
        <v>157</v>
      </c>
      <c r="C37" s="23" t="str">
        <f>_xlfn.CONCAT(C5,", ",C6)</f>
        <v>DUPONT, Jean</v>
      </c>
    </row>
    <row r="38" spans="1:6" x14ac:dyDescent="0.2">
      <c r="A38" t="s">
        <v>54</v>
      </c>
      <c r="B38" s="15" t="s">
        <v>153</v>
      </c>
      <c r="C38" s="29" t="str">
        <f>C13</f>
        <v>Paris</v>
      </c>
    </row>
    <row r="39" spans="1:6" x14ac:dyDescent="0.2">
      <c r="A39" t="s">
        <v>170</v>
      </c>
      <c r="B39" s="15" t="s">
        <v>154</v>
      </c>
      <c r="C39" s="33" t="str">
        <f ca="1">TEXT(DAY(E39),"00")</f>
        <v>05</v>
      </c>
      <c r="E39" s="128">
        <f ca="1">Suivi!B5</f>
        <v>45631.92512847222</v>
      </c>
    </row>
    <row r="40" spans="1:6" x14ac:dyDescent="0.2">
      <c r="A40" t="s">
        <v>171</v>
      </c>
      <c r="B40" s="15" t="s">
        <v>155</v>
      </c>
      <c r="C40" s="33" t="str">
        <f ca="1">TEXT(MONTH(E39),"00")</f>
        <v>12</v>
      </c>
    </row>
    <row r="41" spans="1:6" x14ac:dyDescent="0.2">
      <c r="A41" t="s">
        <v>172</v>
      </c>
      <c r="B41" s="15" t="s">
        <v>156</v>
      </c>
      <c r="C41" s="23" t="str">
        <f ca="1">TEXT(YEAR(E39),"0000")</f>
        <v>2024</v>
      </c>
    </row>
    <row r="42" spans="1:6" x14ac:dyDescent="0.2">
      <c r="A42" t="s">
        <v>217</v>
      </c>
      <c r="B42" s="15" t="s">
        <v>158</v>
      </c>
    </row>
  </sheetData>
  <mergeCells count="5">
    <mergeCell ref="B1:C1"/>
    <mergeCell ref="B2:C2"/>
    <mergeCell ref="A4:C4"/>
    <mergeCell ref="A16:C16"/>
    <mergeCell ref="A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89F0-788A-43AE-BFA9-4BDDBA3F0E67}">
  <dimension ref="A1:C37"/>
  <sheetViews>
    <sheetView workbookViewId="0">
      <selection activeCell="D1" sqref="D1"/>
    </sheetView>
  </sheetViews>
  <sheetFormatPr baseColWidth="10" defaultRowHeight="15" x14ac:dyDescent="0.2"/>
  <cols>
    <col min="1" max="1" width="62.1640625" bestFit="1" customWidth="1"/>
    <col min="2" max="2" width="40.6640625" customWidth="1"/>
    <col min="3" max="3" width="54" style="23" bestFit="1" customWidth="1"/>
  </cols>
  <sheetData>
    <row r="1" spans="1:3" ht="16" x14ac:dyDescent="0.2">
      <c r="A1" s="20" t="s">
        <v>226</v>
      </c>
      <c r="B1" s="162" t="s">
        <v>385</v>
      </c>
      <c r="C1" s="162"/>
    </row>
    <row r="2" spans="1:3" ht="16" x14ac:dyDescent="0.2">
      <c r="A2" s="20" t="s">
        <v>227</v>
      </c>
      <c r="B2" s="162" t="str">
        <f>UPPER(Suivi!B4)&amp;"_SYNTHESE_GRILLE_ANALYSE_LOGEMENT_pre.pdf"</f>
        <v>DUPONT_SYNTHESE_GRILLE_ANALYSE_LOGEMENT_pre.pdf</v>
      </c>
      <c r="C2" s="162"/>
    </row>
    <row r="3" spans="1:3" ht="16" x14ac:dyDescent="0.2">
      <c r="A3" s="3" t="s">
        <v>223</v>
      </c>
      <c r="B3" s="21" t="s">
        <v>224</v>
      </c>
      <c r="C3" s="28" t="s">
        <v>225</v>
      </c>
    </row>
    <row r="4" spans="1:3" x14ac:dyDescent="0.2">
      <c r="A4" s="163" t="s">
        <v>234</v>
      </c>
      <c r="B4" s="163"/>
      <c r="C4" s="163"/>
    </row>
    <row r="5" spans="1:3" x14ac:dyDescent="0.2">
      <c r="A5" t="s">
        <v>62</v>
      </c>
      <c r="B5" s="15" t="s">
        <v>108</v>
      </c>
      <c r="C5" s="23" t="str">
        <f>_xlfn.CONCAT(UPPER(Suivi!B8),", ",Suivi!B9)</f>
        <v>DUPONT, Jean</v>
      </c>
    </row>
    <row r="6" spans="1:3" x14ac:dyDescent="0.2">
      <c r="A6" s="163" t="s">
        <v>96</v>
      </c>
      <c r="B6" s="163"/>
      <c r="C6" s="163"/>
    </row>
    <row r="7" spans="1:3" x14ac:dyDescent="0.2">
      <c r="A7" t="s">
        <v>31</v>
      </c>
      <c r="B7" s="15" t="s">
        <v>109</v>
      </c>
      <c r="C7" s="29" t="str">
        <f>Suivi!E5</f>
        <v>8</v>
      </c>
    </row>
    <row r="8" spans="1:3" x14ac:dyDescent="0.2">
      <c r="A8" t="s">
        <v>4</v>
      </c>
      <c r="B8" s="15" t="s">
        <v>110</v>
      </c>
      <c r="C8" s="29" t="str">
        <f>Suivi!E6</f>
        <v>avenue de l'Opéra</v>
      </c>
    </row>
    <row r="9" spans="1:3" x14ac:dyDescent="0.2">
      <c r="A9" t="s">
        <v>9</v>
      </c>
      <c r="B9" s="15" t="s">
        <v>111</v>
      </c>
      <c r="C9" s="29" t="str">
        <f>Suivi!E7</f>
        <v>75008</v>
      </c>
    </row>
    <row r="10" spans="1:3" x14ac:dyDescent="0.2">
      <c r="A10" t="s">
        <v>63</v>
      </c>
      <c r="B10" s="15" t="s">
        <v>112</v>
      </c>
      <c r="C10" s="29" t="str">
        <f>Suivi!E8</f>
        <v>Paris</v>
      </c>
    </row>
    <row r="11" spans="1:3" x14ac:dyDescent="0.2">
      <c r="A11" t="s">
        <v>179</v>
      </c>
      <c r="B11" s="15" t="s">
        <v>165</v>
      </c>
      <c r="C11" s="29" t="str">
        <f>Suivi!B38</f>
        <v>LA RAISON DE L'ACCOMPAGNATEUR</v>
      </c>
    </row>
    <row r="12" spans="1:3" x14ac:dyDescent="0.2">
      <c r="A12" t="s">
        <v>180</v>
      </c>
      <c r="B12" s="15" t="s">
        <v>166</v>
      </c>
      <c r="C12" s="29" t="str">
        <f>Suivi!B39</f>
        <v>2000405090004Z</v>
      </c>
    </row>
    <row r="13" spans="1:3" x14ac:dyDescent="0.2">
      <c r="A13" t="s">
        <v>239</v>
      </c>
      <c r="B13" s="15" t="s">
        <v>240</v>
      </c>
      <c r="C13" s="23" t="str">
        <f>TEXT(Suivi!E21,"jj/mm/aaaa")</f>
        <v>03/06/2024</v>
      </c>
    </row>
    <row r="14" spans="1:3" x14ac:dyDescent="0.2">
      <c r="A14" s="163" t="s">
        <v>241</v>
      </c>
      <c r="B14" s="163"/>
      <c r="C14" s="163"/>
    </row>
    <row r="15" spans="1:3" x14ac:dyDescent="0.2">
      <c r="A15" t="s">
        <v>242</v>
      </c>
      <c r="B15" s="15" t="s">
        <v>249</v>
      </c>
      <c r="C15" s="19">
        <v>0</v>
      </c>
    </row>
    <row r="16" spans="1:3" x14ac:dyDescent="0.2">
      <c r="A16" t="s">
        <v>243</v>
      </c>
      <c r="B16" s="15" t="s">
        <v>250</v>
      </c>
      <c r="C16" s="19">
        <v>0</v>
      </c>
    </row>
    <row r="17" spans="1:3" x14ac:dyDescent="0.2">
      <c r="A17" t="s">
        <v>244</v>
      </c>
      <c r="B17" s="15" t="s">
        <v>251</v>
      </c>
      <c r="C17" s="19">
        <v>1</v>
      </c>
    </row>
    <row r="18" spans="1:3" x14ac:dyDescent="0.2">
      <c r="A18" t="s">
        <v>245</v>
      </c>
      <c r="B18" s="15" t="s">
        <v>252</v>
      </c>
      <c r="C18" s="19">
        <v>1</v>
      </c>
    </row>
    <row r="19" spans="1:3" x14ac:dyDescent="0.2">
      <c r="A19" t="s">
        <v>246</v>
      </c>
      <c r="B19" s="15" t="s">
        <v>253</v>
      </c>
      <c r="C19" s="19">
        <v>0</v>
      </c>
    </row>
    <row r="20" spans="1:3" x14ac:dyDescent="0.2">
      <c r="A20" t="s">
        <v>247</v>
      </c>
      <c r="B20" s="15" t="s">
        <v>254</v>
      </c>
      <c r="C20" s="19">
        <v>0</v>
      </c>
    </row>
    <row r="21" spans="1:3" x14ac:dyDescent="0.2">
      <c r="A21" t="s">
        <v>248</v>
      </c>
      <c r="B21" s="15" t="s">
        <v>255</v>
      </c>
      <c r="C21" s="19">
        <v>0</v>
      </c>
    </row>
    <row r="22" spans="1:3" x14ac:dyDescent="0.2">
      <c r="A22" s="163" t="s">
        <v>256</v>
      </c>
      <c r="B22" s="163"/>
      <c r="C22" s="163"/>
    </row>
    <row r="23" spans="1:3" x14ac:dyDescent="0.2">
      <c r="A23" t="s">
        <v>257</v>
      </c>
      <c r="B23" s="15" t="s">
        <v>260</v>
      </c>
      <c r="C23" s="19">
        <v>1</v>
      </c>
    </row>
    <row r="24" spans="1:3" x14ac:dyDescent="0.2">
      <c r="A24" t="s">
        <v>258</v>
      </c>
      <c r="B24" s="15" t="s">
        <v>261</v>
      </c>
      <c r="C24" s="19"/>
    </row>
    <row r="25" spans="1:3" x14ac:dyDescent="0.2">
      <c r="A25" t="s">
        <v>259</v>
      </c>
      <c r="B25" s="15" t="s">
        <v>262</v>
      </c>
      <c r="C25" s="19"/>
    </row>
    <row r="26" spans="1:3" x14ac:dyDescent="0.2">
      <c r="A26" s="163" t="s">
        <v>263</v>
      </c>
      <c r="B26" s="163"/>
      <c r="C26" s="163"/>
    </row>
    <row r="27" spans="1:3" x14ac:dyDescent="0.2">
      <c r="A27" t="s">
        <v>257</v>
      </c>
      <c r="B27" s="15" t="s">
        <v>264</v>
      </c>
      <c r="C27" s="19">
        <v>1</v>
      </c>
    </row>
    <row r="28" spans="1:3" x14ac:dyDescent="0.2">
      <c r="A28" t="s">
        <v>265</v>
      </c>
      <c r="B28" s="15" t="s">
        <v>266</v>
      </c>
      <c r="C28" s="19"/>
    </row>
    <row r="29" spans="1:3" x14ac:dyDescent="0.2">
      <c r="A29" t="s">
        <v>268</v>
      </c>
      <c r="B29" s="15" t="s">
        <v>267</v>
      </c>
      <c r="C29" s="19"/>
    </row>
    <row r="30" spans="1:3" x14ac:dyDescent="0.2">
      <c r="A30" s="163" t="s">
        <v>269</v>
      </c>
      <c r="B30" s="163"/>
      <c r="C30" s="163"/>
    </row>
    <row r="31" spans="1:3" x14ac:dyDescent="0.2">
      <c r="A31" t="s">
        <v>257</v>
      </c>
      <c r="B31" s="15" t="s">
        <v>274</v>
      </c>
      <c r="C31" s="19">
        <v>1</v>
      </c>
    </row>
    <row r="32" spans="1:3" x14ac:dyDescent="0.2">
      <c r="A32" t="s">
        <v>270</v>
      </c>
      <c r="B32" s="15" t="s">
        <v>273</v>
      </c>
      <c r="C32" s="19"/>
    </row>
    <row r="33" spans="1:3" x14ac:dyDescent="0.2">
      <c r="A33" s="163" t="s">
        <v>271</v>
      </c>
      <c r="B33" s="163"/>
      <c r="C33" s="163"/>
    </row>
    <row r="34" spans="1:3" x14ac:dyDescent="0.2">
      <c r="A34" t="s">
        <v>272</v>
      </c>
      <c r="B34" s="15" t="s">
        <v>272</v>
      </c>
      <c r="C34" s="19"/>
    </row>
    <row r="35" spans="1:3" x14ac:dyDescent="0.2">
      <c r="A35" s="163" t="s">
        <v>174</v>
      </c>
      <c r="B35" s="163"/>
      <c r="C35" s="163"/>
    </row>
    <row r="36" spans="1:3" x14ac:dyDescent="0.2">
      <c r="A36" t="s">
        <v>238</v>
      </c>
      <c r="B36" s="15" t="s">
        <v>237</v>
      </c>
      <c r="C36" s="33" t="str">
        <f ca="1">TEXT(Suivi!B5,"jj/mm/aaaa")</f>
        <v>05/12/2024</v>
      </c>
    </row>
    <row r="37" spans="1:3" x14ac:dyDescent="0.2">
      <c r="A37" t="s">
        <v>22</v>
      </c>
    </row>
  </sheetData>
  <mergeCells count="10">
    <mergeCell ref="A35:C35"/>
    <mergeCell ref="B1:C1"/>
    <mergeCell ref="B2:C2"/>
    <mergeCell ref="A4:C4"/>
    <mergeCell ref="A6:C6"/>
    <mergeCell ref="A14:C14"/>
    <mergeCell ref="A22:C22"/>
    <mergeCell ref="A26:C26"/>
    <mergeCell ref="A30:C30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9750-D8BA-4434-85C8-20F5FD31963C}">
  <dimension ref="A1:E12"/>
  <sheetViews>
    <sheetView workbookViewId="0">
      <selection activeCell="D1" sqref="D1"/>
    </sheetView>
  </sheetViews>
  <sheetFormatPr baseColWidth="10" defaultRowHeight="15" x14ac:dyDescent="0.2"/>
  <cols>
    <col min="1" max="1" width="47.33203125" customWidth="1"/>
    <col min="2" max="2" width="40.6640625" customWidth="1"/>
    <col min="3" max="3" width="31.1640625" style="23" customWidth="1"/>
  </cols>
  <sheetData>
    <row r="1" spans="1:5" ht="16" x14ac:dyDescent="0.2">
      <c r="A1" s="20" t="s">
        <v>226</v>
      </c>
      <c r="B1" s="162" t="s">
        <v>386</v>
      </c>
      <c r="C1" s="162"/>
    </row>
    <row r="2" spans="1:5" ht="16" x14ac:dyDescent="0.2">
      <c r="A2" s="20" t="s">
        <v>227</v>
      </c>
      <c r="B2" s="162" t="str">
        <f>UPPER(Suivi!B4)&amp;"_ATTESTATION_CEE_pre.pdf"</f>
        <v>DUPONT_ATTESTATION_CEE_pre.pdf</v>
      </c>
      <c r="C2" s="162"/>
    </row>
    <row r="3" spans="1:5" ht="16" x14ac:dyDescent="0.2">
      <c r="A3" s="3" t="s">
        <v>223</v>
      </c>
      <c r="B3" s="21" t="s">
        <v>224</v>
      </c>
      <c r="C3" s="28" t="s">
        <v>225</v>
      </c>
    </row>
    <row r="4" spans="1:5" x14ac:dyDescent="0.2">
      <c r="A4" s="163" t="s">
        <v>59</v>
      </c>
      <c r="B4" s="163"/>
      <c r="C4" s="163"/>
    </row>
    <row r="5" spans="1:5" x14ac:dyDescent="0.2">
      <c r="A5" t="s">
        <v>56</v>
      </c>
      <c r="B5" s="15" t="s">
        <v>108</v>
      </c>
      <c r="C5" s="23" t="str">
        <f>_xlfn.CONCAT(UPPER(Suivi!B8),", ",Suivi!B9)</f>
        <v>DUPONT, Jean</v>
      </c>
    </row>
    <row r="6" spans="1:5" x14ac:dyDescent="0.2">
      <c r="A6" t="s">
        <v>57</v>
      </c>
      <c r="B6" s="15" t="s">
        <v>181</v>
      </c>
      <c r="C6" s="23" t="str">
        <f>IF(Suivi!B30="","",Suivi!B30)</f>
        <v>1234567</v>
      </c>
    </row>
    <row r="7" spans="1:5" ht="32" x14ac:dyDescent="0.2">
      <c r="A7" s="11" t="s">
        <v>58</v>
      </c>
      <c r="B7" s="15" t="s">
        <v>184</v>
      </c>
      <c r="C7" s="36" t="str">
        <f t="array" ref="C7">_xlfn.CONCAT('TPL - plan de financement'!C7,CHAR(10),'TPL - plan de financement'!C12,", ",'TPL - plan de financement'!C13)</f>
        <v>8, avenue de l'Opéra
75008, Paris</v>
      </c>
    </row>
    <row r="8" spans="1:5" x14ac:dyDescent="0.2">
      <c r="A8" t="s">
        <v>186</v>
      </c>
      <c r="B8" s="15" t="s">
        <v>182</v>
      </c>
      <c r="C8" s="23">
        <f>IF(Suivi!B27="PO",0,1)</f>
        <v>0</v>
      </c>
    </row>
    <row r="9" spans="1:5" x14ac:dyDescent="0.2">
      <c r="A9" s="163" t="s">
        <v>61</v>
      </c>
      <c r="B9" s="163"/>
      <c r="C9" s="163"/>
    </row>
    <row r="10" spans="1:5" x14ac:dyDescent="0.2">
      <c r="A10" t="s">
        <v>54</v>
      </c>
      <c r="B10" s="15" t="s">
        <v>153</v>
      </c>
      <c r="C10" s="29" t="str">
        <f>Suivi!B17</f>
        <v>Paris</v>
      </c>
      <c r="E10" s="50"/>
    </row>
    <row r="11" spans="1:5" x14ac:dyDescent="0.2">
      <c r="A11" t="s">
        <v>55</v>
      </c>
      <c r="B11" s="15" t="s">
        <v>183</v>
      </c>
      <c r="C11" s="23" t="str">
        <f ca="1">TEXT(Suivi!B5,"jj/mm/aaaa")</f>
        <v>05/12/2024</v>
      </c>
    </row>
    <row r="12" spans="1:5" x14ac:dyDescent="0.2">
      <c r="A12" t="s">
        <v>185</v>
      </c>
      <c r="B12" s="15" t="s">
        <v>158</v>
      </c>
      <c r="C12" s="29"/>
    </row>
  </sheetData>
  <mergeCells count="4">
    <mergeCell ref="A4:C4"/>
    <mergeCell ref="A9:C9"/>
    <mergeCell ref="B1:C1"/>
    <mergeCell ref="B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C051-B1FE-45ED-A36B-BFC69ECC256B}">
  <dimension ref="A1:F75"/>
  <sheetViews>
    <sheetView workbookViewId="0">
      <selection activeCell="D1" sqref="D1"/>
    </sheetView>
  </sheetViews>
  <sheetFormatPr baseColWidth="10" defaultRowHeight="15" x14ac:dyDescent="0.2"/>
  <cols>
    <col min="1" max="1" width="62.1640625" bestFit="1" customWidth="1"/>
    <col min="2" max="2" width="40.6640625" customWidth="1"/>
    <col min="3" max="3" width="54" style="23" bestFit="1" customWidth="1"/>
  </cols>
  <sheetData>
    <row r="1" spans="1:5" ht="16" x14ac:dyDescent="0.2">
      <c r="A1" s="20" t="s">
        <v>226</v>
      </c>
      <c r="B1" s="162" t="s">
        <v>387</v>
      </c>
      <c r="C1" s="162"/>
    </row>
    <row r="2" spans="1:5" ht="16" x14ac:dyDescent="0.2">
      <c r="A2" s="20" t="s">
        <v>227</v>
      </c>
      <c r="B2" s="162" t="str">
        <f>UPPER(Suivi!B4)&amp;"_ATTESTATION_TRAVAUX_DEVIS_pre.pdf"</f>
        <v>DUPONT_ATTESTATION_TRAVAUX_DEVIS_pre.pdf</v>
      </c>
      <c r="C2" s="162"/>
    </row>
    <row r="3" spans="1:5" ht="16" x14ac:dyDescent="0.2">
      <c r="A3" s="3" t="s">
        <v>223</v>
      </c>
      <c r="B3" s="21" t="s">
        <v>224</v>
      </c>
      <c r="C3" s="28" t="s">
        <v>225</v>
      </c>
    </row>
    <row r="4" spans="1:5" x14ac:dyDescent="0.2">
      <c r="A4" s="163" t="s">
        <v>95</v>
      </c>
      <c r="B4" s="163"/>
      <c r="C4" s="163"/>
    </row>
    <row r="5" spans="1:5" x14ac:dyDescent="0.2">
      <c r="A5" t="s">
        <v>62</v>
      </c>
      <c r="B5" s="15" t="s">
        <v>108</v>
      </c>
      <c r="C5" s="23" t="str">
        <f>_xlfn.CONCAT(UPPER(Suivi!B8),", ",Suivi!B9)</f>
        <v>DUPONT, Jean</v>
      </c>
    </row>
    <row r="6" spans="1:5" x14ac:dyDescent="0.2">
      <c r="A6" s="163" t="s">
        <v>96</v>
      </c>
      <c r="B6" s="163"/>
      <c r="C6" s="163"/>
    </row>
    <row r="7" spans="1:5" x14ac:dyDescent="0.2">
      <c r="A7" t="s">
        <v>31</v>
      </c>
      <c r="B7" s="15" t="s">
        <v>109</v>
      </c>
      <c r="C7" s="29" t="str">
        <f>Suivi!E5</f>
        <v>8</v>
      </c>
    </row>
    <row r="8" spans="1:5" x14ac:dyDescent="0.2">
      <c r="A8" t="s">
        <v>4</v>
      </c>
      <c r="B8" s="15" t="s">
        <v>110</v>
      </c>
      <c r="C8" s="29" t="str">
        <f>Suivi!E6</f>
        <v>avenue de l'Opéra</v>
      </c>
    </row>
    <row r="9" spans="1:5" x14ac:dyDescent="0.2">
      <c r="A9" t="s">
        <v>9</v>
      </c>
      <c r="B9" s="15" t="s">
        <v>111</v>
      </c>
      <c r="C9" s="29" t="str">
        <f>Suivi!E7</f>
        <v>75008</v>
      </c>
    </row>
    <row r="10" spans="1:5" x14ac:dyDescent="0.2">
      <c r="A10" t="s">
        <v>63</v>
      </c>
      <c r="B10" s="15" t="s">
        <v>112</v>
      </c>
      <c r="C10" s="29" t="str">
        <f>Suivi!E8</f>
        <v>Paris</v>
      </c>
    </row>
    <row r="11" spans="1:5" x14ac:dyDescent="0.2">
      <c r="A11" s="163" t="s">
        <v>97</v>
      </c>
      <c r="B11" s="163"/>
      <c r="C11" s="163"/>
    </row>
    <row r="12" spans="1:5" x14ac:dyDescent="0.2">
      <c r="A12" t="s">
        <v>64</v>
      </c>
      <c r="B12" s="15" t="s">
        <v>113</v>
      </c>
      <c r="C12" s="23" t="str">
        <f>TEXT(E12,"0")</f>
        <v>27837</v>
      </c>
      <c r="E12" s="129">
        <f>Suivi!M17</f>
        <v>27837.260000000002</v>
      </c>
    </row>
    <row r="13" spans="1:5" x14ac:dyDescent="0.2">
      <c r="A13" t="s">
        <v>65</v>
      </c>
      <c r="B13" s="15" t="s">
        <v>114</v>
      </c>
      <c r="C13" s="23" t="str">
        <f>TEXT(E13,"0")</f>
        <v>29370</v>
      </c>
      <c r="E13" s="129">
        <f>Suivi!N17</f>
        <v>29370.11</v>
      </c>
    </row>
    <row r="14" spans="1:5" x14ac:dyDescent="0.2">
      <c r="A14" s="163" t="s">
        <v>98</v>
      </c>
      <c r="B14" s="163"/>
      <c r="C14" s="163"/>
      <c r="E14" s="25"/>
    </row>
    <row r="15" spans="1:5" x14ac:dyDescent="0.2">
      <c r="A15" t="s">
        <v>168</v>
      </c>
      <c r="B15" s="15" t="s">
        <v>115</v>
      </c>
      <c r="C15" s="23" t="str">
        <f>TEXT(DAY(E15),"00")</f>
        <v>02</v>
      </c>
      <c r="E15" s="128">
        <f>Suivi!E22</f>
        <v>45628</v>
      </c>
    </row>
    <row r="16" spans="1:5" x14ac:dyDescent="0.2">
      <c r="A16" t="s">
        <v>167</v>
      </c>
      <c r="B16" s="15" t="s">
        <v>116</v>
      </c>
      <c r="C16" s="23" t="str">
        <f>TEXT(MONTH(E15),"00")</f>
        <v>12</v>
      </c>
      <c r="E16" s="25"/>
    </row>
    <row r="17" spans="1:5" x14ac:dyDescent="0.2">
      <c r="A17" t="s">
        <v>169</v>
      </c>
      <c r="B17" s="15" t="s">
        <v>117</v>
      </c>
      <c r="C17" s="23" t="str">
        <f>TEXT(YEAR(E15),"00")</f>
        <v>2024</v>
      </c>
      <c r="E17" s="25"/>
    </row>
    <row r="18" spans="1:5" x14ac:dyDescent="0.2">
      <c r="A18" t="s">
        <v>66</v>
      </c>
      <c r="B18" s="15" t="s">
        <v>118</v>
      </c>
      <c r="C18" s="35" t="str">
        <f>Suivi!E23</f>
        <v>A24260164258O</v>
      </c>
      <c r="E18" s="25"/>
    </row>
    <row r="19" spans="1:5" x14ac:dyDescent="0.2">
      <c r="A19" t="s">
        <v>177</v>
      </c>
      <c r="B19" s="15" t="s">
        <v>119</v>
      </c>
      <c r="C19" s="29" t="str">
        <f>Suivi!B38</f>
        <v>LA RAISON DE L'ACCOMPAGNATEUR</v>
      </c>
      <c r="E19" s="25"/>
    </row>
    <row r="20" spans="1:5" x14ac:dyDescent="0.2">
      <c r="A20" t="s">
        <v>178</v>
      </c>
      <c r="B20" s="15" t="s">
        <v>120</v>
      </c>
      <c r="C20" s="29" t="str">
        <f>Suivi!B39</f>
        <v>2000405090004Z</v>
      </c>
      <c r="E20" s="25"/>
    </row>
    <row r="21" spans="1:5" x14ac:dyDescent="0.2">
      <c r="A21" s="164" t="s">
        <v>67</v>
      </c>
      <c r="B21" s="164"/>
      <c r="C21" s="164"/>
      <c r="E21" s="25"/>
    </row>
    <row r="22" spans="1:5" x14ac:dyDescent="0.2">
      <c r="A22" t="s">
        <v>72</v>
      </c>
      <c r="B22" s="15" t="s">
        <v>121</v>
      </c>
      <c r="C22" s="23" t="str">
        <f t="shared" ref="C22:C24" si="0">TEXT(E22,"0,0")</f>
        <v>330,1</v>
      </c>
      <c r="E22" s="129">
        <f>Suivi!E28</f>
        <v>330.1</v>
      </c>
    </row>
    <row r="23" spans="1:5" x14ac:dyDescent="0.2">
      <c r="A23" t="s">
        <v>73</v>
      </c>
      <c r="B23" s="15" t="s">
        <v>122</v>
      </c>
      <c r="C23" s="23" t="str">
        <f t="shared" si="0"/>
        <v>172,4</v>
      </c>
      <c r="E23" s="129">
        <f>Suivi!E29</f>
        <v>172.38068181818181</v>
      </c>
    </row>
    <row r="24" spans="1:5" ht="18" x14ac:dyDescent="0.25">
      <c r="A24" s="10" t="s">
        <v>74</v>
      </c>
      <c r="B24" s="15" t="s">
        <v>123</v>
      </c>
      <c r="C24" s="23" t="str">
        <f t="shared" si="0"/>
        <v>10,8</v>
      </c>
      <c r="E24" s="129">
        <f>Suivi!E30</f>
        <v>10.8</v>
      </c>
    </row>
    <row r="25" spans="1:5" x14ac:dyDescent="0.2">
      <c r="A25" t="s">
        <v>68</v>
      </c>
      <c r="B25" s="15" t="s">
        <v>124</v>
      </c>
      <c r="C25" s="29" t="str">
        <f>Suivi!E27</f>
        <v>F</v>
      </c>
      <c r="E25" s="25"/>
    </row>
    <row r="26" spans="1:5" x14ac:dyDescent="0.2">
      <c r="A26" t="s">
        <v>69</v>
      </c>
      <c r="B26" s="15" t="s">
        <v>125</v>
      </c>
      <c r="C26" s="23" t="str">
        <f>TEXT(E26,"0,0")</f>
        <v>88,0</v>
      </c>
      <c r="E26" s="129">
        <f>Suivi!E26</f>
        <v>88</v>
      </c>
    </row>
    <row r="27" spans="1:5" x14ac:dyDescent="0.2">
      <c r="A27" s="164" t="s">
        <v>70</v>
      </c>
      <c r="B27" s="164"/>
      <c r="C27" s="164"/>
      <c r="E27" s="130"/>
    </row>
    <row r="28" spans="1:5" x14ac:dyDescent="0.2">
      <c r="A28" t="s">
        <v>71</v>
      </c>
      <c r="B28" s="15" t="s">
        <v>126</v>
      </c>
      <c r="C28" s="23" t="str">
        <f>Suivi!E35</f>
        <v>S3 (retenu MPRA)</v>
      </c>
      <c r="E28" s="130"/>
    </row>
    <row r="29" spans="1:5" x14ac:dyDescent="0.2">
      <c r="A29" t="s">
        <v>72</v>
      </c>
      <c r="B29" s="15" t="s">
        <v>127</v>
      </c>
      <c r="C29" s="23" t="str">
        <f t="shared" ref="C29:C30" si="1">TEXT(E29,"0,0")</f>
        <v>149,5</v>
      </c>
      <c r="E29" s="129">
        <f>Suivi!E38</f>
        <v>149.5</v>
      </c>
    </row>
    <row r="30" spans="1:5" x14ac:dyDescent="0.2">
      <c r="A30" t="s">
        <v>73</v>
      </c>
      <c r="B30" s="15" t="s">
        <v>128</v>
      </c>
      <c r="C30" s="23" t="str">
        <f t="shared" si="1"/>
        <v>136,6</v>
      </c>
      <c r="E30" s="129">
        <f>Suivi!E39</f>
        <v>136.61257142857144</v>
      </c>
    </row>
    <row r="31" spans="1:5" ht="18" x14ac:dyDescent="0.25">
      <c r="A31" s="10" t="s">
        <v>74</v>
      </c>
      <c r="B31" s="15" t="s">
        <v>129</v>
      </c>
      <c r="C31" s="23" t="str">
        <f>TEXT(E31,"0,0")</f>
        <v>4,5</v>
      </c>
      <c r="E31" s="129">
        <f>Suivi!E40</f>
        <v>4.5</v>
      </c>
    </row>
    <row r="32" spans="1:5" x14ac:dyDescent="0.2">
      <c r="A32" t="s">
        <v>68</v>
      </c>
      <c r="B32" s="15" t="s">
        <v>130</v>
      </c>
      <c r="C32" s="29" t="str">
        <f>Suivi!E37</f>
        <v>C</v>
      </c>
      <c r="E32" s="25"/>
    </row>
    <row r="33" spans="1:6" x14ac:dyDescent="0.2">
      <c r="A33" t="s">
        <v>69</v>
      </c>
      <c r="B33" s="15" t="s">
        <v>131</v>
      </c>
      <c r="C33" s="23" t="str">
        <f>TEXT(E33,"0,0")</f>
        <v>87,5</v>
      </c>
      <c r="E33" s="129">
        <f>Suivi!E36</f>
        <v>87.5</v>
      </c>
    </row>
    <row r="34" spans="1:6" x14ac:dyDescent="0.2">
      <c r="A34" s="164" t="s">
        <v>75</v>
      </c>
      <c r="B34" s="164"/>
      <c r="C34" s="164"/>
    </row>
    <row r="35" spans="1:6" x14ac:dyDescent="0.2">
      <c r="A35" t="s">
        <v>76</v>
      </c>
      <c r="B35" s="15" t="s">
        <v>132</v>
      </c>
      <c r="C35" s="30">
        <f>IF(E35=2,1,0)</f>
        <v>0</v>
      </c>
      <c r="E35" s="131">
        <f>Suivi!E44</f>
        <v>3</v>
      </c>
    </row>
    <row r="36" spans="1:6" x14ac:dyDescent="0.2">
      <c r="A36" t="s">
        <v>77</v>
      </c>
      <c r="B36" s="15" t="s">
        <v>133</v>
      </c>
      <c r="C36" s="30">
        <f>IF(E35=3,1,0)</f>
        <v>1</v>
      </c>
    </row>
    <row r="37" spans="1:6" x14ac:dyDescent="0.2">
      <c r="A37" t="s">
        <v>78</v>
      </c>
      <c r="B37" s="15" t="s">
        <v>134</v>
      </c>
      <c r="C37" s="30">
        <f>IF(E35&gt;=4,1,0)</f>
        <v>0</v>
      </c>
    </row>
    <row r="38" spans="1:6" x14ac:dyDescent="0.2">
      <c r="A38" s="12" t="s">
        <v>99</v>
      </c>
      <c r="B38" s="12"/>
      <c r="C38" s="31"/>
    </row>
    <row r="39" spans="1:6" x14ac:dyDescent="0.2">
      <c r="A39" t="s">
        <v>81</v>
      </c>
      <c r="B39" s="15" t="s">
        <v>79</v>
      </c>
      <c r="C39" s="23" t="str">
        <f>IF(Suivi!H6 = "","",Suivi!H6)</f>
        <v>ITI des murs du salon (R=3.7)</v>
      </c>
    </row>
    <row r="40" spans="1:6" x14ac:dyDescent="0.2">
      <c r="A40" t="s">
        <v>83</v>
      </c>
      <c r="B40" s="15" t="s">
        <v>135</v>
      </c>
      <c r="C40" s="23" t="str">
        <f>IF(Suivi!H7 = "","",Suivi!H7)</f>
        <v>Remplacement des menuiseries</v>
      </c>
    </row>
    <row r="41" spans="1:6" x14ac:dyDescent="0.2">
      <c r="A41" t="s">
        <v>85</v>
      </c>
      <c r="B41" s="15" t="s">
        <v>137</v>
      </c>
      <c r="C41" s="23" t="str">
        <f>IF(Suivi!H8 = "","",Suivi!H8)</f>
        <v>Remplacement des menuiseries, travaux de maçonnerie liés</v>
      </c>
    </row>
    <row r="42" spans="1:6" x14ac:dyDescent="0.2">
      <c r="A42" t="s">
        <v>87</v>
      </c>
      <c r="B42" s="15" t="s">
        <v>139</v>
      </c>
      <c r="C42" s="23" t="str">
        <f>IF(Suivi!H9 = "","",Suivi!H9)</f>
        <v>Installation VMC SF Hb</v>
      </c>
    </row>
    <row r="43" spans="1:6" x14ac:dyDescent="0.2">
      <c r="A43" t="s">
        <v>89</v>
      </c>
      <c r="B43" s="15" t="s">
        <v>141</v>
      </c>
      <c r="C43" s="23" t="str">
        <f>IF(Suivi!H10 = "","",Suivi!H10)</f>
        <v>Installation d un CET</v>
      </c>
    </row>
    <row r="44" spans="1:6" x14ac:dyDescent="0.2">
      <c r="A44" t="s">
        <v>91</v>
      </c>
      <c r="B44" s="15" t="s">
        <v>143</v>
      </c>
      <c r="C44" s="23" t="str">
        <f>IF(Suivi!H11 = "","",Suivi!H11)</f>
        <v/>
      </c>
      <c r="E44" t="s">
        <v>230</v>
      </c>
      <c r="F44" t="s">
        <v>231</v>
      </c>
    </row>
    <row r="45" spans="1:6" x14ac:dyDescent="0.2">
      <c r="A45" t="s">
        <v>93</v>
      </c>
      <c r="B45" s="15" t="s">
        <v>145</v>
      </c>
      <c r="C45" s="23" t="str">
        <f>IF(Suivi!H12 = "","",Suivi!H12)</f>
        <v/>
      </c>
      <c r="E45" t="s">
        <v>26</v>
      </c>
      <c r="F45" t="s">
        <v>27</v>
      </c>
    </row>
    <row r="46" spans="1:6" ht="32" x14ac:dyDescent="0.2">
      <c r="A46" t="s">
        <v>82</v>
      </c>
      <c r="B46" s="15" t="s">
        <v>80</v>
      </c>
      <c r="C46" s="32" t="str">
        <f>IF(C39&lt;&gt;"",_xlfn.CONCAT(TEXT(E46,E$44),CHAR(10),TEXT(F46,F$44)),"")</f>
        <v>2 830 €HT
2 986 €TTC</v>
      </c>
      <c r="E46" s="127">
        <f>Suivi!K6</f>
        <v>2830</v>
      </c>
      <c r="F46" s="127">
        <f>Suivi!L6</f>
        <v>2985.65</v>
      </c>
    </row>
    <row r="47" spans="1:6" ht="32" x14ac:dyDescent="0.2">
      <c r="A47" t="s">
        <v>84</v>
      </c>
      <c r="B47" s="15" t="s">
        <v>136</v>
      </c>
      <c r="C47" s="32" t="str">
        <f t="shared" ref="C47:C52" si="2">IF(C40&lt;&gt;"",_xlfn.CONCAT(TEXT(E47,E$44),CHAR(10),TEXT(F47,F$44)),"")</f>
        <v>18 436 €HT
19 450 €TTC</v>
      </c>
      <c r="E47" s="127">
        <f>Suivi!K7</f>
        <v>18435.650000000001</v>
      </c>
      <c r="F47" s="127">
        <f>Suivi!L7</f>
        <v>19449.61</v>
      </c>
    </row>
    <row r="48" spans="1:6" ht="32" x14ac:dyDescent="0.2">
      <c r="A48" t="s">
        <v>86</v>
      </c>
      <c r="B48" s="15" t="s">
        <v>138</v>
      </c>
      <c r="C48" s="32" t="str">
        <f t="shared" si="2"/>
        <v>1 572 €HT
1 658 €TTC</v>
      </c>
      <c r="E48" s="127">
        <f>Suivi!K8</f>
        <v>1572</v>
      </c>
      <c r="F48" s="127">
        <f>Suivi!L8</f>
        <v>1658.46</v>
      </c>
    </row>
    <row r="49" spans="1:6" ht="32" x14ac:dyDescent="0.2">
      <c r="A49" t="s">
        <v>88</v>
      </c>
      <c r="B49" s="15" t="s">
        <v>140</v>
      </c>
      <c r="C49" s="32" t="str">
        <f t="shared" si="2"/>
        <v>1 333 €HT
1 406 €TTC</v>
      </c>
      <c r="E49" s="127">
        <f>Suivi!K9</f>
        <v>1332.61</v>
      </c>
      <c r="F49" s="127">
        <f>Suivi!L9</f>
        <v>1405.9</v>
      </c>
    </row>
    <row r="50" spans="1:6" ht="32" x14ac:dyDescent="0.2">
      <c r="A50" t="s">
        <v>90</v>
      </c>
      <c r="B50" s="15" t="s">
        <v>142</v>
      </c>
      <c r="C50" s="32" t="str">
        <f t="shared" si="2"/>
        <v>3 667 €HT
3 870 €TTC</v>
      </c>
      <c r="E50" s="127">
        <f>Suivi!K10</f>
        <v>3667</v>
      </c>
      <c r="F50" s="127">
        <f>Suivi!L10</f>
        <v>3870.49</v>
      </c>
    </row>
    <row r="51" spans="1:6" ht="16" x14ac:dyDescent="0.2">
      <c r="A51" t="s">
        <v>92</v>
      </c>
      <c r="B51" s="15" t="s">
        <v>144</v>
      </c>
      <c r="C51" s="32" t="str">
        <f t="shared" si="2"/>
        <v/>
      </c>
      <c r="E51" s="127">
        <f>Suivi!K11</f>
        <v>0</v>
      </c>
      <c r="F51" s="127">
        <f>Suivi!L11</f>
        <v>0</v>
      </c>
    </row>
    <row r="52" spans="1:6" ht="16" x14ac:dyDescent="0.2">
      <c r="A52" t="s">
        <v>94</v>
      </c>
      <c r="B52" s="15" t="s">
        <v>146</v>
      </c>
      <c r="C52" s="32" t="str">
        <f t="shared" si="2"/>
        <v/>
      </c>
      <c r="E52" s="127">
        <f>Suivi!K12</f>
        <v>0</v>
      </c>
      <c r="F52" s="127">
        <f>Suivi!L12</f>
        <v>0</v>
      </c>
    </row>
    <row r="53" spans="1:6" ht="16" x14ac:dyDescent="0.2">
      <c r="A53" s="13" t="s">
        <v>100</v>
      </c>
      <c r="B53" s="13"/>
      <c r="C53" s="31"/>
    </row>
    <row r="54" spans="1:6" x14ac:dyDescent="0.2">
      <c r="A54" t="s">
        <v>101</v>
      </c>
      <c r="B54" s="15" t="s">
        <v>147</v>
      </c>
      <c r="C54" s="19"/>
    </row>
    <row r="55" spans="1:6" x14ac:dyDescent="0.2">
      <c r="A55" t="s">
        <v>103</v>
      </c>
      <c r="B55" s="15" t="s">
        <v>149</v>
      </c>
      <c r="C55" s="19"/>
    </row>
    <row r="56" spans="1:6" x14ac:dyDescent="0.2">
      <c r="A56" t="s">
        <v>105</v>
      </c>
      <c r="B56" s="15" t="s">
        <v>151</v>
      </c>
      <c r="C56" s="19"/>
    </row>
    <row r="57" spans="1:6" x14ac:dyDescent="0.2">
      <c r="A57" t="s">
        <v>102</v>
      </c>
      <c r="B57" s="15" t="s">
        <v>148</v>
      </c>
      <c r="C57" s="126"/>
    </row>
    <row r="58" spans="1:6" x14ac:dyDescent="0.2">
      <c r="A58" t="s">
        <v>104</v>
      </c>
      <c r="B58" s="15" t="s">
        <v>150</v>
      </c>
      <c r="C58" s="126"/>
    </row>
    <row r="59" spans="1:6" x14ac:dyDescent="0.2">
      <c r="A59" t="s">
        <v>106</v>
      </c>
      <c r="B59" s="15" t="s">
        <v>152</v>
      </c>
      <c r="C59" s="126"/>
    </row>
    <row r="60" spans="1:6" x14ac:dyDescent="0.2">
      <c r="A60" s="163" t="s">
        <v>61</v>
      </c>
      <c r="B60" s="163"/>
      <c r="C60" s="163"/>
    </row>
    <row r="61" spans="1:6" x14ac:dyDescent="0.2">
      <c r="A61" t="s">
        <v>54</v>
      </c>
      <c r="B61" s="15" t="s">
        <v>153</v>
      </c>
      <c r="C61" s="29" t="str">
        <f>C10</f>
        <v>Paris</v>
      </c>
    </row>
    <row r="62" spans="1:6" x14ac:dyDescent="0.2">
      <c r="A62" t="s">
        <v>170</v>
      </c>
      <c r="B62" s="15" t="s">
        <v>154</v>
      </c>
      <c r="C62" s="33" t="str">
        <f ca="1">TEXT(DAY(E62),"00")</f>
        <v>05</v>
      </c>
      <c r="E62" s="128">
        <f ca="1">Suivi!B5</f>
        <v>45631.92512847222</v>
      </c>
    </row>
    <row r="63" spans="1:6" x14ac:dyDescent="0.2">
      <c r="A63" t="s">
        <v>171</v>
      </c>
      <c r="B63" s="15" t="s">
        <v>155</v>
      </c>
      <c r="C63" s="23" t="str">
        <f ca="1">TEXT(MONTH(E62),"00")</f>
        <v>12</v>
      </c>
    </row>
    <row r="64" spans="1:6" x14ac:dyDescent="0.2">
      <c r="A64" t="s">
        <v>172</v>
      </c>
      <c r="B64" s="15" t="s">
        <v>156</v>
      </c>
      <c r="C64" s="23" t="str">
        <f ca="1">TEXT(YEAR(E62),"0000")</f>
        <v>2024</v>
      </c>
    </row>
    <row r="65" spans="1:5" x14ac:dyDescent="0.2">
      <c r="A65" t="s">
        <v>107</v>
      </c>
      <c r="B65" s="15" t="s">
        <v>157</v>
      </c>
      <c r="C65" s="23" t="str">
        <f>C5</f>
        <v>DUPONT, Jean</v>
      </c>
    </row>
    <row r="66" spans="1:5" x14ac:dyDescent="0.2">
      <c r="A66" t="s">
        <v>217</v>
      </c>
      <c r="B66" s="15" t="s">
        <v>158</v>
      </c>
    </row>
    <row r="67" spans="1:5" x14ac:dyDescent="0.2">
      <c r="A67" s="163" t="s">
        <v>174</v>
      </c>
      <c r="B67" s="163"/>
      <c r="C67" s="163"/>
    </row>
    <row r="68" spans="1:5" x14ac:dyDescent="0.2">
      <c r="A68" t="s">
        <v>54</v>
      </c>
      <c r="B68" s="15" t="s">
        <v>159</v>
      </c>
      <c r="C68" s="29" t="str">
        <f>Suivi!B42</f>
        <v>Lyon</v>
      </c>
    </row>
    <row r="69" spans="1:5" x14ac:dyDescent="0.2">
      <c r="A69" t="s">
        <v>170</v>
      </c>
      <c r="B69" s="15" t="s">
        <v>160</v>
      </c>
      <c r="C69" s="33" t="str">
        <f ca="1">TEXT(DAY(E69),"00")</f>
        <v>05</v>
      </c>
      <c r="E69" s="128">
        <f ca="1">E62</f>
        <v>45631.92512847222</v>
      </c>
    </row>
    <row r="70" spans="1:5" x14ac:dyDescent="0.2">
      <c r="A70" t="s">
        <v>171</v>
      </c>
      <c r="B70" s="15" t="s">
        <v>161</v>
      </c>
      <c r="C70" s="23" t="str">
        <f ca="1">TEXT(MONTH(E69),"00")</f>
        <v>12</v>
      </c>
    </row>
    <row r="71" spans="1:5" x14ac:dyDescent="0.2">
      <c r="A71" t="s">
        <v>172</v>
      </c>
      <c r="B71" s="15" t="s">
        <v>162</v>
      </c>
      <c r="C71" s="23" t="str">
        <f ca="1">TEXT(YEAR(E69),"0000")</f>
        <v>2024</v>
      </c>
    </row>
    <row r="72" spans="1:5" x14ac:dyDescent="0.2">
      <c r="A72" t="s">
        <v>175</v>
      </c>
      <c r="B72" s="15" t="s">
        <v>163</v>
      </c>
      <c r="C72" s="23" t="str">
        <f>UPPER(Suivi!B34) &amp; ", " &amp;Suivi!B35</f>
        <v>MARTIN, Marius</v>
      </c>
    </row>
    <row r="73" spans="1:5" x14ac:dyDescent="0.2">
      <c r="A73" t="s">
        <v>377</v>
      </c>
      <c r="B73" s="15" t="s">
        <v>164</v>
      </c>
    </row>
    <row r="74" spans="1:5" x14ac:dyDescent="0.2">
      <c r="A74" t="s">
        <v>179</v>
      </c>
      <c r="B74" s="15" t="s">
        <v>165</v>
      </c>
      <c r="C74" s="29" t="str">
        <f>Suivi!B38</f>
        <v>LA RAISON DE L'ACCOMPAGNATEUR</v>
      </c>
    </row>
    <row r="75" spans="1:5" x14ac:dyDescent="0.2">
      <c r="A75" t="s">
        <v>180</v>
      </c>
      <c r="B75" s="15" t="s">
        <v>166</v>
      </c>
      <c r="C75" s="29" t="str">
        <f>Suivi!B39</f>
        <v>2000405090004Z</v>
      </c>
    </row>
  </sheetData>
  <mergeCells count="11">
    <mergeCell ref="B1:C1"/>
    <mergeCell ref="B2:C2"/>
    <mergeCell ref="A27:C27"/>
    <mergeCell ref="A34:C34"/>
    <mergeCell ref="A60:C60"/>
    <mergeCell ref="A67:C67"/>
    <mergeCell ref="A4:C4"/>
    <mergeCell ref="A6:C6"/>
    <mergeCell ref="A11:C11"/>
    <mergeCell ref="A14:C14"/>
    <mergeCell ref="A21:C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CDA3-E231-4C53-9F22-56FB0A6A51C3}">
  <dimension ref="A1:C75"/>
  <sheetViews>
    <sheetView workbookViewId="0">
      <selection activeCell="D1" sqref="D1"/>
    </sheetView>
  </sheetViews>
  <sheetFormatPr baseColWidth="10" defaultRowHeight="15" x14ac:dyDescent="0.2"/>
  <cols>
    <col min="1" max="1" width="62.1640625" bestFit="1" customWidth="1"/>
    <col min="2" max="2" width="40.6640625" customWidth="1"/>
    <col min="3" max="3" width="54" style="23" bestFit="1" customWidth="1"/>
  </cols>
  <sheetData>
    <row r="1" spans="1:3" ht="16" x14ac:dyDescent="0.2">
      <c r="A1" s="20" t="s">
        <v>226</v>
      </c>
      <c r="B1" s="162" t="s">
        <v>388</v>
      </c>
      <c r="C1" s="162"/>
    </row>
    <row r="2" spans="1:3" ht="16" x14ac:dyDescent="0.2">
      <c r="A2" s="20" t="s">
        <v>227</v>
      </c>
      <c r="B2" s="162" t="str">
        <f>UPPER(Suivi!B4)&amp;"_ATTESTATION_TRAVAUX_FACTURES_pre.pdf"</f>
        <v>DUPONT_ATTESTATION_TRAVAUX_FACTURES_pre.pdf</v>
      </c>
      <c r="C2" s="162"/>
    </row>
    <row r="3" spans="1:3" ht="16" x14ac:dyDescent="0.2">
      <c r="A3" s="3" t="s">
        <v>221</v>
      </c>
      <c r="B3" s="21" t="s">
        <v>224</v>
      </c>
      <c r="C3" s="28" t="s">
        <v>225</v>
      </c>
    </row>
    <row r="4" spans="1:3" x14ac:dyDescent="0.2">
      <c r="A4" s="12" t="s">
        <v>95</v>
      </c>
      <c r="B4" s="12"/>
      <c r="C4" s="31"/>
    </row>
    <row r="5" spans="1:3" x14ac:dyDescent="0.2">
      <c r="A5" t="s">
        <v>62</v>
      </c>
      <c r="B5" s="15" t="s">
        <v>108</v>
      </c>
      <c r="C5" s="23" t="str">
        <f>IF(VLOOKUP(B5,'TPL - attest travaux (devis)'!B4:C75,2,FALSE)&lt;&gt;"",VLOOKUP(B5,'TPL - attest travaux (devis)'!B4:C75,2,FALSE),"")</f>
        <v>DUPONT, Jean</v>
      </c>
    </row>
    <row r="6" spans="1:3" x14ac:dyDescent="0.2">
      <c r="A6" s="12" t="s">
        <v>96</v>
      </c>
      <c r="B6" s="12"/>
      <c r="C6" s="31"/>
    </row>
    <row r="7" spans="1:3" x14ac:dyDescent="0.2">
      <c r="A7" t="s">
        <v>31</v>
      </c>
      <c r="B7" s="15" t="s">
        <v>109</v>
      </c>
      <c r="C7" s="29" t="str">
        <f>IF(VLOOKUP(B7,'TPL - attest travaux (devis)'!B5:C77,2,FALSE)&lt;&gt;"",VLOOKUP(B7,'TPL - attest travaux (devis)'!B5:C77,2,FALSE),"")</f>
        <v>8</v>
      </c>
    </row>
    <row r="8" spans="1:3" x14ac:dyDescent="0.2">
      <c r="A8" t="s">
        <v>4</v>
      </c>
      <c r="B8" s="15" t="s">
        <v>110</v>
      </c>
      <c r="C8" s="29" t="str">
        <f>IF(VLOOKUP(B8,'TPL - attest travaux (devis)'!B6:C78,2,FALSE)&lt;&gt;"",VLOOKUP(B8,'TPL - attest travaux (devis)'!B6:C78,2,FALSE),"")</f>
        <v>avenue de l'Opéra</v>
      </c>
    </row>
    <row r="9" spans="1:3" x14ac:dyDescent="0.2">
      <c r="A9" t="s">
        <v>9</v>
      </c>
      <c r="B9" s="15" t="s">
        <v>111</v>
      </c>
      <c r="C9" s="29" t="str">
        <f>IF(VLOOKUP(B9,'TPL - attest travaux (devis)'!B7:C79,2,FALSE)&lt;&gt;"",VLOOKUP(B9,'TPL - attest travaux (devis)'!B7:C79,2,FALSE),"")</f>
        <v>75008</v>
      </c>
    </row>
    <row r="10" spans="1:3" x14ac:dyDescent="0.2">
      <c r="A10" t="s">
        <v>63</v>
      </c>
      <c r="B10" s="15" t="s">
        <v>112</v>
      </c>
      <c r="C10" s="29" t="str">
        <f>IF(VLOOKUP(B10,'TPL - attest travaux (devis)'!B8:C80,2,FALSE)&lt;&gt;"",VLOOKUP(B10,'TPL - attest travaux (devis)'!B8:C80,2,FALSE),"")</f>
        <v>Paris</v>
      </c>
    </row>
    <row r="11" spans="1:3" x14ac:dyDescent="0.2">
      <c r="A11" s="12" t="s">
        <v>97</v>
      </c>
      <c r="B11" s="12"/>
      <c r="C11" s="31"/>
    </row>
    <row r="12" spans="1:3" x14ac:dyDescent="0.2">
      <c r="A12" t="s">
        <v>64</v>
      </c>
      <c r="B12" s="15" t="s">
        <v>113</v>
      </c>
      <c r="C12" s="23" t="str">
        <f>IF(VLOOKUP(B12,'TPL - attest travaux (devis)'!B10:C82,2,FALSE)&lt;&gt;"",VLOOKUP(B12,'TPL - attest travaux (devis)'!B10:C82,2,FALSE),"")</f>
        <v>27837</v>
      </c>
    </row>
    <row r="13" spans="1:3" x14ac:dyDescent="0.2">
      <c r="A13" t="s">
        <v>65</v>
      </c>
      <c r="B13" s="15" t="s">
        <v>114</v>
      </c>
      <c r="C13" s="23" t="str">
        <f>IF(VLOOKUP(B13,'TPL - attest travaux (devis)'!B11:C83,2,FALSE)&lt;&gt;"",VLOOKUP(B13,'TPL - attest travaux (devis)'!B11:C83,2,FALSE),"")</f>
        <v>29370</v>
      </c>
    </row>
    <row r="14" spans="1:3" x14ac:dyDescent="0.2">
      <c r="A14" s="12" t="s">
        <v>98</v>
      </c>
      <c r="B14" s="12"/>
      <c r="C14" s="31"/>
    </row>
    <row r="15" spans="1:3" x14ac:dyDescent="0.2">
      <c r="A15" t="s">
        <v>168</v>
      </c>
      <c r="B15" s="15" t="s">
        <v>115</v>
      </c>
      <c r="C15" s="23" t="str">
        <f>IF(VLOOKUP(B15,'TPL - attest travaux (devis)'!B13:C85,2,FALSE)&lt;&gt;"",VLOOKUP(B15,'TPL - attest travaux (devis)'!B13:C85,2,FALSE),"")</f>
        <v>02</v>
      </c>
    </row>
    <row r="16" spans="1:3" x14ac:dyDescent="0.2">
      <c r="A16" t="s">
        <v>167</v>
      </c>
      <c r="B16" s="15" t="s">
        <v>116</v>
      </c>
      <c r="C16" s="23" t="str">
        <f>IF(VLOOKUP(B16,'TPL - attest travaux (devis)'!B14:C86,2,FALSE)&lt;&gt;"",VLOOKUP(B16,'TPL - attest travaux (devis)'!B14:C86,2,FALSE),"")</f>
        <v>12</v>
      </c>
    </row>
    <row r="17" spans="1:3" x14ac:dyDescent="0.2">
      <c r="A17" t="s">
        <v>169</v>
      </c>
      <c r="B17" s="15" t="s">
        <v>117</v>
      </c>
      <c r="C17" s="23" t="str">
        <f>IF(VLOOKUP(B17,'TPL - attest travaux (devis)'!B15:C87,2,FALSE)&lt;&gt;"",VLOOKUP(B17,'TPL - attest travaux (devis)'!B15:C87,2,FALSE),"")</f>
        <v>2024</v>
      </c>
    </row>
    <row r="18" spans="1:3" x14ac:dyDescent="0.2">
      <c r="A18" t="s">
        <v>66</v>
      </c>
      <c r="B18" s="15" t="s">
        <v>118</v>
      </c>
      <c r="C18" s="23" t="str">
        <f>IF(VLOOKUP(B18,'TPL - attest travaux (devis)'!B16:C88,2,FALSE)&lt;&gt;"",VLOOKUP(B18,'TPL - attest travaux (devis)'!B16:C88,2,FALSE),"")</f>
        <v>A24260164258O</v>
      </c>
    </row>
    <row r="19" spans="1:3" x14ac:dyDescent="0.2">
      <c r="A19" t="s">
        <v>177</v>
      </c>
      <c r="B19" s="15" t="s">
        <v>119</v>
      </c>
      <c r="C19" s="23" t="str">
        <f>IF(VLOOKUP(B19,'TPL - attest travaux (devis)'!B17:C89,2,FALSE)&lt;&gt;"",VLOOKUP(B19,'TPL - attest travaux (devis)'!B17:C89,2,FALSE),"")</f>
        <v>LA RAISON DE L'ACCOMPAGNATEUR</v>
      </c>
    </row>
    <row r="20" spans="1:3" x14ac:dyDescent="0.2">
      <c r="A20" t="s">
        <v>178</v>
      </c>
      <c r="B20" s="15" t="s">
        <v>120</v>
      </c>
      <c r="C20" s="23" t="str">
        <f>IF(VLOOKUP(B20,'TPL - attest travaux (devis)'!B18:C90,2,FALSE)&lt;&gt;"",VLOOKUP(B20,'TPL - attest travaux (devis)'!B18:C90,2,FALSE),"")</f>
        <v>2000405090004Z</v>
      </c>
    </row>
    <row r="21" spans="1:3" x14ac:dyDescent="0.2">
      <c r="A21" s="14" t="s">
        <v>67</v>
      </c>
      <c r="B21" s="14"/>
      <c r="C21" s="34"/>
    </row>
    <row r="22" spans="1:3" x14ac:dyDescent="0.2">
      <c r="A22" t="s">
        <v>72</v>
      </c>
      <c r="B22" s="15" t="s">
        <v>121</v>
      </c>
      <c r="C22" s="23" t="str">
        <f>IF(VLOOKUP(B22,'TPL - attest travaux (devis)'!B20:C92,2,FALSE)&lt;&gt;"",VLOOKUP(B22,'TPL - attest travaux (devis)'!B20:C92,2,FALSE),"")</f>
        <v>330,1</v>
      </c>
    </row>
    <row r="23" spans="1:3" x14ac:dyDescent="0.2">
      <c r="A23" t="s">
        <v>73</v>
      </c>
      <c r="B23" s="15" t="s">
        <v>122</v>
      </c>
      <c r="C23" s="23" t="str">
        <f>IF(VLOOKUP(B23,'TPL - attest travaux (devis)'!B21:C93,2,FALSE)&lt;&gt;"",VLOOKUP(B23,'TPL - attest travaux (devis)'!B21:C93,2,FALSE),"")</f>
        <v>172,4</v>
      </c>
    </row>
    <row r="24" spans="1:3" ht="18" x14ac:dyDescent="0.25">
      <c r="A24" s="10" t="s">
        <v>74</v>
      </c>
      <c r="B24" s="15" t="s">
        <v>123</v>
      </c>
      <c r="C24" s="23" t="str">
        <f>IF(VLOOKUP(B24,'TPL - attest travaux (devis)'!B22:C94,2,FALSE)&lt;&gt;"",VLOOKUP(B24,'TPL - attest travaux (devis)'!B22:C94,2,FALSE),"")</f>
        <v>10,8</v>
      </c>
    </row>
    <row r="25" spans="1:3" x14ac:dyDescent="0.2">
      <c r="A25" t="s">
        <v>68</v>
      </c>
      <c r="B25" s="15" t="s">
        <v>124</v>
      </c>
      <c r="C25" s="23" t="str">
        <f>IF(VLOOKUP(B25,'TPL - attest travaux (devis)'!B23:C95,2,FALSE)&lt;&gt;"",VLOOKUP(B25,'TPL - attest travaux (devis)'!B23:C95,2,FALSE),"")</f>
        <v>F</v>
      </c>
    </row>
    <row r="26" spans="1:3" x14ac:dyDescent="0.2">
      <c r="A26" t="s">
        <v>69</v>
      </c>
      <c r="B26" s="15" t="s">
        <v>125</v>
      </c>
      <c r="C26" s="23" t="str">
        <f>IF(VLOOKUP(B26,'TPL - attest travaux (devis)'!B24:C96,2,FALSE)&lt;&gt;"",VLOOKUP(B26,'TPL - attest travaux (devis)'!B24:C96,2,FALSE),"")</f>
        <v>88,0</v>
      </c>
    </row>
    <row r="27" spans="1:3" x14ac:dyDescent="0.2">
      <c r="A27" s="14" t="s">
        <v>70</v>
      </c>
      <c r="B27" s="14"/>
      <c r="C27" s="34"/>
    </row>
    <row r="28" spans="1:3" x14ac:dyDescent="0.2">
      <c r="A28" t="s">
        <v>71</v>
      </c>
      <c r="B28" s="15" t="s">
        <v>126</v>
      </c>
      <c r="C28" s="23" t="str">
        <f>IF(VLOOKUP(B28,'TPL - attest travaux (devis)'!B26:C98,2,FALSE)&lt;&gt;"",VLOOKUP(B28,'TPL - attest travaux (devis)'!B26:C98,2,FALSE),"")</f>
        <v>S3 (retenu MPRA)</v>
      </c>
    </row>
    <row r="29" spans="1:3" x14ac:dyDescent="0.2">
      <c r="A29" t="s">
        <v>72</v>
      </c>
      <c r="B29" s="15" t="s">
        <v>127</v>
      </c>
      <c r="C29" s="23" t="str">
        <f>IF(VLOOKUP(B29,'TPL - attest travaux (devis)'!B27:C99,2,FALSE)&lt;&gt;"",VLOOKUP(B29,'TPL - attest travaux (devis)'!B27:C99,2,FALSE),"")</f>
        <v>149,5</v>
      </c>
    </row>
    <row r="30" spans="1:3" x14ac:dyDescent="0.2">
      <c r="A30" t="s">
        <v>73</v>
      </c>
      <c r="B30" s="15" t="s">
        <v>128</v>
      </c>
      <c r="C30" s="30" t="str">
        <f>IF(VLOOKUP(B30,'TPL - attest travaux (devis)'!B28:C100,2,FALSE)&lt;&gt;"",VLOOKUP(B30,'TPL - attest travaux (devis)'!B28:C100,2,FALSE),"")</f>
        <v>136,6</v>
      </c>
    </row>
    <row r="31" spans="1:3" ht="18" x14ac:dyDescent="0.25">
      <c r="A31" s="10" t="s">
        <v>74</v>
      </c>
      <c r="B31" s="15" t="s">
        <v>129</v>
      </c>
      <c r="C31" s="23" t="str">
        <f>IF(VLOOKUP(B31,'TPL - attest travaux (devis)'!B29:C101,2,FALSE)&lt;&gt;"",VLOOKUP(B31,'TPL - attest travaux (devis)'!B29:C101,2,FALSE),"")</f>
        <v>4,5</v>
      </c>
    </row>
    <row r="32" spans="1:3" x14ac:dyDescent="0.2">
      <c r="A32" t="s">
        <v>68</v>
      </c>
      <c r="B32" s="15" t="s">
        <v>130</v>
      </c>
      <c r="C32" s="23" t="str">
        <f>IF(VLOOKUP(B32,'TPL - attest travaux (devis)'!B30:C102,2,FALSE)&lt;&gt;"",VLOOKUP(B32,'TPL - attest travaux (devis)'!B30:C102,2,FALSE),"")</f>
        <v>C</v>
      </c>
    </row>
    <row r="33" spans="1:3" x14ac:dyDescent="0.2">
      <c r="A33" t="s">
        <v>69</v>
      </c>
      <c r="B33" s="15" t="s">
        <v>131</v>
      </c>
      <c r="C33" s="23" t="str">
        <f>IF(VLOOKUP(B33,'TPL - attest travaux (devis)'!B31:C103,2,FALSE)&lt;&gt;"",VLOOKUP(B33,'TPL - attest travaux (devis)'!B31:C103,2,FALSE),"")</f>
        <v>87,5</v>
      </c>
    </row>
    <row r="34" spans="1:3" x14ac:dyDescent="0.2">
      <c r="A34" s="14" t="s">
        <v>75</v>
      </c>
      <c r="B34" s="14"/>
      <c r="C34" s="34"/>
    </row>
    <row r="35" spans="1:3" x14ac:dyDescent="0.2">
      <c r="A35" t="s">
        <v>76</v>
      </c>
      <c r="B35" s="15" t="s">
        <v>132</v>
      </c>
      <c r="C35" s="23">
        <f>IF(VLOOKUP(B35,'TPL - attest travaux (devis)'!B33:C105,2,FALSE)&lt;&gt;"",VLOOKUP(B35,'TPL - attest travaux (devis)'!B33:C105,2,FALSE),"")</f>
        <v>0</v>
      </c>
    </row>
    <row r="36" spans="1:3" x14ac:dyDescent="0.2">
      <c r="A36" t="s">
        <v>77</v>
      </c>
      <c r="B36" s="15" t="s">
        <v>133</v>
      </c>
      <c r="C36" s="23">
        <f>IF(VLOOKUP(B36,'TPL - attest travaux (devis)'!B34:C106,2,FALSE)&lt;&gt;"",VLOOKUP(B36,'TPL - attest travaux (devis)'!B34:C106,2,FALSE),"")</f>
        <v>1</v>
      </c>
    </row>
    <row r="37" spans="1:3" x14ac:dyDescent="0.2">
      <c r="A37" t="s">
        <v>78</v>
      </c>
      <c r="B37" s="15" t="s">
        <v>134</v>
      </c>
      <c r="C37" s="23">
        <f>IF(VLOOKUP(B37,'TPL - attest travaux (devis)'!B35:C107,2,FALSE)&lt;&gt;"",VLOOKUP(B37,'TPL - attest travaux (devis)'!B35:C107,2,FALSE),"")</f>
        <v>0</v>
      </c>
    </row>
    <row r="38" spans="1:3" x14ac:dyDescent="0.2">
      <c r="A38" s="12" t="s">
        <v>99</v>
      </c>
      <c r="B38" s="12"/>
      <c r="C38" s="31"/>
    </row>
    <row r="39" spans="1:3" ht="16" x14ac:dyDescent="0.2">
      <c r="A39" t="s">
        <v>81</v>
      </c>
      <c r="B39" s="15" t="s">
        <v>79</v>
      </c>
      <c r="C39" s="32" t="str">
        <f>IF(VLOOKUP(B39,'TPL - attest travaux (devis)'!B37:C109,2,FALSE)&lt;&gt;"",VLOOKUP(B39,'TPL - attest travaux (devis)'!B37:C109,2,FALSE),"")</f>
        <v>ITI des murs du salon (R=3.7)</v>
      </c>
    </row>
    <row r="40" spans="1:3" ht="16" x14ac:dyDescent="0.2">
      <c r="A40" t="s">
        <v>83</v>
      </c>
      <c r="B40" s="15" t="s">
        <v>135</v>
      </c>
      <c r="C40" s="32" t="str">
        <f>IF(VLOOKUP(B40,'TPL - attest travaux (devis)'!B38:C110,2,FALSE)&lt;&gt;"",VLOOKUP(B40,'TPL - attest travaux (devis)'!B38:C110,2,FALSE),"")</f>
        <v>Remplacement des menuiseries</v>
      </c>
    </row>
    <row r="41" spans="1:3" ht="16" x14ac:dyDescent="0.2">
      <c r="A41" t="s">
        <v>85</v>
      </c>
      <c r="B41" s="15" t="s">
        <v>137</v>
      </c>
      <c r="C41" s="32" t="str">
        <f>IF(VLOOKUP(B41,'TPL - attest travaux (devis)'!B39:C111,2,FALSE)&lt;&gt;"",VLOOKUP(B41,'TPL - attest travaux (devis)'!B39:C111,2,FALSE),"")</f>
        <v>Remplacement des menuiseries, travaux de maçonnerie liés</v>
      </c>
    </row>
    <row r="42" spans="1:3" ht="16" x14ac:dyDescent="0.2">
      <c r="A42" t="s">
        <v>87</v>
      </c>
      <c r="B42" s="15" t="s">
        <v>139</v>
      </c>
      <c r="C42" s="32" t="str">
        <f>IF(VLOOKUP(B42,'TPL - attest travaux (devis)'!B40:C112,2,FALSE)&lt;&gt;"",VLOOKUP(B42,'TPL - attest travaux (devis)'!B40:C112,2,FALSE),"")</f>
        <v>Installation VMC SF Hb</v>
      </c>
    </row>
    <row r="43" spans="1:3" ht="16" x14ac:dyDescent="0.2">
      <c r="A43" t="s">
        <v>89</v>
      </c>
      <c r="B43" s="15" t="s">
        <v>141</v>
      </c>
      <c r="C43" s="32" t="str">
        <f>IF(VLOOKUP(B43,'TPL - attest travaux (devis)'!B41:C113,2,FALSE)&lt;&gt;"",VLOOKUP(B43,'TPL - attest travaux (devis)'!B41:C113,2,FALSE),"")</f>
        <v>Installation d un CET</v>
      </c>
    </row>
    <row r="44" spans="1:3" ht="16" x14ac:dyDescent="0.2">
      <c r="A44" t="s">
        <v>91</v>
      </c>
      <c r="B44" s="15" t="s">
        <v>143</v>
      </c>
      <c r="C44" s="32" t="str">
        <f>IF(VLOOKUP(B44,'TPL - attest travaux (devis)'!B42:C114,2,FALSE)&lt;&gt;"",VLOOKUP(B44,'TPL - attest travaux (devis)'!B42:C114,2,FALSE),"")</f>
        <v/>
      </c>
    </row>
    <row r="45" spans="1:3" ht="16" x14ac:dyDescent="0.2">
      <c r="A45" t="s">
        <v>93</v>
      </c>
      <c r="B45" s="15" t="s">
        <v>145</v>
      </c>
      <c r="C45" s="32" t="str">
        <f>IF(VLOOKUP(B45,'TPL - attest travaux (devis)'!B43:C115,2,FALSE)&lt;&gt;"",VLOOKUP(B45,'TPL - attest travaux (devis)'!B43:C115,2,FALSE),"")</f>
        <v/>
      </c>
    </row>
    <row r="46" spans="1:3" ht="32" x14ac:dyDescent="0.2">
      <c r="A46" t="s">
        <v>82</v>
      </c>
      <c r="B46" s="15" t="s">
        <v>80</v>
      </c>
      <c r="C46" s="32" t="str">
        <f>IF(VLOOKUP(B46,'TPL - attest travaux (devis)'!B44:C116,2,FALSE)&lt;&gt;"",VLOOKUP(B46,'TPL - attest travaux (devis)'!B44:C116,2,FALSE),"")</f>
        <v>2 830 €HT
2 986 €TTC</v>
      </c>
    </row>
    <row r="47" spans="1:3" ht="32" x14ac:dyDescent="0.2">
      <c r="A47" t="s">
        <v>84</v>
      </c>
      <c r="B47" s="15" t="s">
        <v>136</v>
      </c>
      <c r="C47" s="32" t="str">
        <f>IF(VLOOKUP(B47,'TPL - attest travaux (devis)'!B45:C117,2,FALSE)&lt;&gt;"",VLOOKUP(B47,'TPL - attest travaux (devis)'!B45:C117,2,FALSE),"")</f>
        <v>18 436 €HT
19 450 €TTC</v>
      </c>
    </row>
    <row r="48" spans="1:3" ht="32" x14ac:dyDescent="0.2">
      <c r="A48" t="s">
        <v>86</v>
      </c>
      <c r="B48" s="15" t="s">
        <v>138</v>
      </c>
      <c r="C48" s="32" t="str">
        <f>IF(VLOOKUP(B48,'TPL - attest travaux (devis)'!B46:C118,2,FALSE)&lt;&gt;"",VLOOKUP(B48,'TPL - attest travaux (devis)'!B46:C118,2,FALSE),"")</f>
        <v>1 572 €HT
1 658 €TTC</v>
      </c>
    </row>
    <row r="49" spans="1:3" ht="32" x14ac:dyDescent="0.2">
      <c r="A49" t="s">
        <v>88</v>
      </c>
      <c r="B49" s="15" t="s">
        <v>140</v>
      </c>
      <c r="C49" s="32" t="str">
        <f>IF(VLOOKUP(B49,'TPL - attest travaux (devis)'!B47:C119,2,FALSE)&lt;&gt;"",VLOOKUP(B49,'TPL - attest travaux (devis)'!B47:C119,2,FALSE),"")</f>
        <v>1 333 €HT
1 406 €TTC</v>
      </c>
    </row>
    <row r="50" spans="1:3" ht="32" x14ac:dyDescent="0.2">
      <c r="A50" t="s">
        <v>90</v>
      </c>
      <c r="B50" s="15" t="s">
        <v>142</v>
      </c>
      <c r="C50" s="32" t="str">
        <f>IF(VLOOKUP(B50,'TPL - attest travaux (devis)'!B48:C120,2,FALSE)&lt;&gt;"",VLOOKUP(B50,'TPL - attest travaux (devis)'!B48:C120,2,FALSE),"")</f>
        <v>3 667 €HT
3 870 €TTC</v>
      </c>
    </row>
    <row r="51" spans="1:3" ht="16" x14ac:dyDescent="0.2">
      <c r="A51" t="s">
        <v>92</v>
      </c>
      <c r="B51" s="15" t="s">
        <v>144</v>
      </c>
      <c r="C51" s="32" t="str">
        <f>IF(VLOOKUP(B51,'TPL - attest travaux (devis)'!B49:C121,2,FALSE)&lt;&gt;"",VLOOKUP(B51,'TPL - attest travaux (devis)'!B49:C121,2,FALSE),"")</f>
        <v/>
      </c>
    </row>
    <row r="52" spans="1:3" ht="16" x14ac:dyDescent="0.2">
      <c r="A52" t="s">
        <v>94</v>
      </c>
      <c r="B52" s="15" t="s">
        <v>146</v>
      </c>
      <c r="C52" s="32" t="str">
        <f>IF(VLOOKUP(B52,'TPL - attest travaux (devis)'!B50:C122,2,FALSE)&lt;&gt;"",VLOOKUP(B52,'TPL - attest travaux (devis)'!B50:C122,2,FALSE),"")</f>
        <v/>
      </c>
    </row>
    <row r="53" spans="1:3" ht="16" x14ac:dyDescent="0.2">
      <c r="A53" s="13" t="s">
        <v>100</v>
      </c>
      <c r="B53" s="13"/>
      <c r="C53" s="31"/>
    </row>
    <row r="54" spans="1:3" ht="16" x14ac:dyDescent="0.2">
      <c r="A54" t="s">
        <v>101</v>
      </c>
      <c r="B54" s="15" t="s">
        <v>147</v>
      </c>
      <c r="C54" s="32" t="str">
        <f>IF(VLOOKUP(B54,'TPL - attest travaux (devis)'!B52:C124,2,FALSE)&lt;&gt;"",VLOOKUP(B54,'TPL - attest travaux (devis)'!B52:C124,2,FALSE),"")</f>
        <v/>
      </c>
    </row>
    <row r="55" spans="1:3" ht="16" x14ac:dyDescent="0.2">
      <c r="A55" t="s">
        <v>103</v>
      </c>
      <c r="B55" s="15" t="s">
        <v>149</v>
      </c>
      <c r="C55" s="32" t="str">
        <f>IF(VLOOKUP(B55,'TPL - attest travaux (devis)'!B53:C125,2,FALSE)&lt;&gt;"",VLOOKUP(B55,'TPL - attest travaux (devis)'!B53:C125,2,FALSE),"")</f>
        <v/>
      </c>
    </row>
    <row r="56" spans="1:3" ht="16" x14ac:dyDescent="0.2">
      <c r="A56" t="s">
        <v>105</v>
      </c>
      <c r="B56" s="15" t="s">
        <v>151</v>
      </c>
      <c r="C56" s="32" t="str">
        <f>IF(VLOOKUP(B56,'TPL - attest travaux (devis)'!B54:C126,2,FALSE)&lt;&gt;"",VLOOKUP(B56,'TPL - attest travaux (devis)'!B54:C126,2,FALSE),"")</f>
        <v/>
      </c>
    </row>
    <row r="57" spans="1:3" ht="16" x14ac:dyDescent="0.2">
      <c r="A57" t="s">
        <v>102</v>
      </c>
      <c r="B57" s="15" t="s">
        <v>148</v>
      </c>
      <c r="C57" s="32" t="str">
        <f>IF(VLOOKUP(B57,'TPL - attest travaux (devis)'!B55:C127,2,FALSE)&lt;&gt;"",VLOOKUP(B57,'TPL - attest travaux (devis)'!B55:C127,2,FALSE),"")</f>
        <v/>
      </c>
    </row>
    <row r="58" spans="1:3" ht="16" x14ac:dyDescent="0.2">
      <c r="A58" t="s">
        <v>104</v>
      </c>
      <c r="B58" s="15" t="s">
        <v>150</v>
      </c>
      <c r="C58" s="32" t="str">
        <f>IF(VLOOKUP(B58,'TPL - attest travaux (devis)'!B56:C128,2,FALSE)&lt;&gt;"",VLOOKUP(B58,'TPL - attest travaux (devis)'!B56:C128,2,FALSE),"")</f>
        <v/>
      </c>
    </row>
    <row r="59" spans="1:3" ht="16" x14ac:dyDescent="0.2">
      <c r="A59" t="s">
        <v>106</v>
      </c>
      <c r="B59" s="15" t="s">
        <v>152</v>
      </c>
      <c r="C59" s="32" t="str">
        <f>IF(VLOOKUP(B59,'TPL - attest travaux (devis)'!B57:C129,2,FALSE)&lt;&gt;"",VLOOKUP(B59,'TPL - attest travaux (devis)'!B57:C129,2,FALSE),"")</f>
        <v/>
      </c>
    </row>
    <row r="60" spans="1:3" x14ac:dyDescent="0.2">
      <c r="A60" s="12" t="s">
        <v>61</v>
      </c>
      <c r="B60" s="12"/>
      <c r="C60" s="31"/>
    </row>
    <row r="61" spans="1:3" x14ac:dyDescent="0.2">
      <c r="A61" t="s">
        <v>54</v>
      </c>
      <c r="B61" s="15" t="s">
        <v>153</v>
      </c>
      <c r="C61" s="23" t="str">
        <f>IF(VLOOKUP(B61,'TPL - attest travaux (devis)'!B59:C131,2,FALSE)&lt;&gt;"",VLOOKUP(B61,'TPL - attest travaux (devis)'!B59:C131,2,FALSE),"")</f>
        <v>Paris</v>
      </c>
    </row>
    <row r="62" spans="1:3" x14ac:dyDescent="0.2">
      <c r="A62" t="s">
        <v>170</v>
      </c>
      <c r="B62" s="15" t="s">
        <v>154</v>
      </c>
      <c r="C62" s="33" t="str">
        <f ca="1">IF(VLOOKUP(B62,'TPL - attest travaux (devis)'!B60:C132,2,FALSE)&lt;&gt;"",VLOOKUP(B62,'TPL - attest travaux (devis)'!B60:C132,2,FALSE),"")</f>
        <v>05</v>
      </c>
    </row>
    <row r="63" spans="1:3" x14ac:dyDescent="0.2">
      <c r="A63" t="s">
        <v>171</v>
      </c>
      <c r="B63" s="15" t="s">
        <v>155</v>
      </c>
      <c r="C63" s="23" t="str">
        <f ca="1">IF(VLOOKUP(B63,'TPL - attest travaux (devis)'!B61:C133,2,FALSE)&lt;&gt;"",VLOOKUP(B63,'TPL - attest travaux (devis)'!B61:C133,2,FALSE),"")</f>
        <v>12</v>
      </c>
    </row>
    <row r="64" spans="1:3" x14ac:dyDescent="0.2">
      <c r="A64" t="s">
        <v>172</v>
      </c>
      <c r="B64" s="15" t="s">
        <v>156</v>
      </c>
      <c r="C64" s="23" t="str">
        <f ca="1">IF(VLOOKUP(B64,'TPL - attest travaux (devis)'!B62:C134,2,FALSE)&lt;&gt;"",VLOOKUP(B64,'TPL - attest travaux (devis)'!B62:C134,2,FALSE),"")</f>
        <v>2024</v>
      </c>
    </row>
    <row r="65" spans="1:3" x14ac:dyDescent="0.2">
      <c r="A65" t="s">
        <v>107</v>
      </c>
      <c r="B65" s="15" t="s">
        <v>157</v>
      </c>
      <c r="C65" s="23" t="str">
        <f>IF(VLOOKUP(B65,'TPL - attest travaux (devis)'!B63:C135,2,FALSE)&lt;&gt;"",VLOOKUP(B65,'TPL - attest travaux (devis)'!B63:C135,2,FALSE),"")</f>
        <v>DUPONT, Jean</v>
      </c>
    </row>
    <row r="66" spans="1:3" x14ac:dyDescent="0.2">
      <c r="A66" t="s">
        <v>173</v>
      </c>
      <c r="B66" s="15" t="s">
        <v>158</v>
      </c>
      <c r="C66" s="23" t="str">
        <f>IF(VLOOKUP(B66,'TPL - attest travaux (devis)'!B64:C136,2,FALSE)&lt;&gt;"",VLOOKUP(B66,'TPL - attest travaux (devis)'!B64:C136,2,FALSE),"")</f>
        <v/>
      </c>
    </row>
    <row r="67" spans="1:3" x14ac:dyDescent="0.2">
      <c r="A67" s="12" t="s">
        <v>174</v>
      </c>
      <c r="B67" s="12"/>
      <c r="C67" s="31"/>
    </row>
    <row r="68" spans="1:3" x14ac:dyDescent="0.2">
      <c r="A68" t="s">
        <v>54</v>
      </c>
      <c r="B68" s="15" t="s">
        <v>159</v>
      </c>
      <c r="C68" s="23" t="str">
        <f>IF(VLOOKUP(B68,'TPL - attest travaux (devis)'!B66:C138,2,FALSE)&lt;&gt;"",VLOOKUP(B68,'TPL - attest travaux (devis)'!B66:C138,2,FALSE),"")</f>
        <v>Lyon</v>
      </c>
    </row>
    <row r="69" spans="1:3" x14ac:dyDescent="0.2">
      <c r="A69" t="s">
        <v>170</v>
      </c>
      <c r="B69" s="15" t="s">
        <v>160</v>
      </c>
      <c r="C69" s="23" t="str">
        <f ca="1">IF(VLOOKUP(B69,'TPL - attest travaux (devis)'!B67:C139,2,FALSE)&lt;&gt;"",VLOOKUP(B69,'TPL - attest travaux (devis)'!B67:C139,2,FALSE),"")</f>
        <v>05</v>
      </c>
    </row>
    <row r="70" spans="1:3" x14ac:dyDescent="0.2">
      <c r="A70" t="s">
        <v>171</v>
      </c>
      <c r="B70" s="15" t="s">
        <v>161</v>
      </c>
      <c r="C70" s="23" t="str">
        <f ca="1">IF(VLOOKUP(B70,'TPL - attest travaux (devis)'!B68:C140,2,FALSE)&lt;&gt;"",VLOOKUP(B70,'TPL - attest travaux (devis)'!B68:C140,2,FALSE),"")</f>
        <v>12</v>
      </c>
    </row>
    <row r="71" spans="1:3" x14ac:dyDescent="0.2">
      <c r="A71" t="s">
        <v>172</v>
      </c>
      <c r="B71" s="15" t="s">
        <v>162</v>
      </c>
      <c r="C71" s="23" t="str">
        <f ca="1">IF(VLOOKUP(B71,'TPL - attest travaux (devis)'!B69:C141,2,FALSE)&lt;&gt;"",VLOOKUP(B71,'TPL - attest travaux (devis)'!B69:C141,2,FALSE),"")</f>
        <v>2024</v>
      </c>
    </row>
    <row r="72" spans="1:3" x14ac:dyDescent="0.2">
      <c r="A72" t="s">
        <v>175</v>
      </c>
      <c r="B72" s="15" t="s">
        <v>163</v>
      </c>
      <c r="C72" s="23" t="str">
        <f>IF(VLOOKUP(B72,'TPL - attest travaux (devis)'!B70:C142,2,FALSE)&lt;&gt;"",VLOOKUP(B72,'TPL - attest travaux (devis)'!B70:C142,2,FALSE),"")</f>
        <v>MARTIN, Marius</v>
      </c>
    </row>
    <row r="73" spans="1:3" x14ac:dyDescent="0.2">
      <c r="A73" t="s">
        <v>176</v>
      </c>
      <c r="B73" s="15" t="s">
        <v>164</v>
      </c>
      <c r="C73" s="23" t="str">
        <f>IF(VLOOKUP(B73,'TPL - attest travaux (devis)'!B71:C143,2,FALSE)&lt;&gt;"",VLOOKUP(B73,'TPL - attest travaux (devis)'!B71:C143,2,FALSE),"")</f>
        <v/>
      </c>
    </row>
    <row r="74" spans="1:3" x14ac:dyDescent="0.2">
      <c r="A74" t="s">
        <v>179</v>
      </c>
      <c r="B74" s="15" t="s">
        <v>165</v>
      </c>
      <c r="C74" s="23" t="str">
        <f>IF(VLOOKUP(B74,'TPL - attest travaux (devis)'!B72:C144,2,FALSE)&lt;&gt;"",VLOOKUP(B74,'TPL - attest travaux (devis)'!B72:C144,2,FALSE),"")</f>
        <v>LA RAISON DE L'ACCOMPAGNATEUR</v>
      </c>
    </row>
    <row r="75" spans="1:3" x14ac:dyDescent="0.2">
      <c r="A75" t="s">
        <v>180</v>
      </c>
      <c r="B75" s="15" t="s">
        <v>166</v>
      </c>
      <c r="C75" s="23" t="str">
        <f>IF(VLOOKUP(B75,'TPL - attest travaux (devis)'!B73:C145,2,FALSE)&lt;&gt;"",VLOOKUP(B75,'TPL - attest travaux (devis)'!B73:C145,2,FALSE),"")</f>
        <v>2000405090004Z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DA9B-3D9E-48C8-97B2-25409F24A160}">
  <dimension ref="A1:C24"/>
  <sheetViews>
    <sheetView tabSelected="1" workbookViewId="0">
      <selection activeCell="E3" sqref="E3"/>
    </sheetView>
  </sheetViews>
  <sheetFormatPr baseColWidth="10" defaultRowHeight="15" x14ac:dyDescent="0.2"/>
  <cols>
    <col min="1" max="1" width="22" bestFit="1" customWidth="1"/>
    <col min="2" max="2" width="40.6640625" customWidth="1"/>
    <col min="3" max="3" width="23.33203125" style="23" bestFit="1" customWidth="1"/>
  </cols>
  <sheetData>
    <row r="1" spans="1:3" ht="16" x14ac:dyDescent="0.2">
      <c r="A1" s="22" t="s">
        <v>226</v>
      </c>
      <c r="B1" s="165" t="s">
        <v>389</v>
      </c>
      <c r="C1" s="165"/>
    </row>
    <row r="2" spans="1:3" ht="16" x14ac:dyDescent="0.2">
      <c r="A2" s="22" t="s">
        <v>227</v>
      </c>
      <c r="B2" s="165" t="str">
        <f>UPPER(Suivi!B4)&amp;"_CONTRAT_AMO_pre.docx"</f>
        <v>DUPONT_CONTRAT_AMO_pre.docx</v>
      </c>
      <c r="C2" s="165"/>
    </row>
    <row r="3" spans="1:3" ht="16" x14ac:dyDescent="0.2">
      <c r="A3" s="3" t="s">
        <v>223</v>
      </c>
      <c r="B3" s="21" t="s">
        <v>224</v>
      </c>
      <c r="C3" s="28" t="s">
        <v>225</v>
      </c>
    </row>
    <row r="4" spans="1:3" x14ac:dyDescent="0.2">
      <c r="A4" s="12" t="s">
        <v>422</v>
      </c>
      <c r="B4" s="12"/>
      <c r="C4" s="31"/>
    </row>
    <row r="5" spans="1:3" x14ac:dyDescent="0.2">
      <c r="A5" t="s">
        <v>1</v>
      </c>
      <c r="B5" s="15" t="s">
        <v>187</v>
      </c>
      <c r="C5" s="23" t="str">
        <f>Suivi!B8</f>
        <v>Dupont</v>
      </c>
    </row>
    <row r="6" spans="1:3" x14ac:dyDescent="0.2">
      <c r="A6" t="s">
        <v>2</v>
      </c>
      <c r="B6" s="15" t="s">
        <v>188</v>
      </c>
      <c r="C6" s="29" t="str">
        <f>Suivi!B9</f>
        <v>Jean</v>
      </c>
    </row>
    <row r="7" spans="1:3" x14ac:dyDescent="0.2">
      <c r="A7" t="s">
        <v>11</v>
      </c>
      <c r="B7" s="15" t="s">
        <v>196</v>
      </c>
      <c r="C7" s="29" t="str">
        <f>Suivi!B11</f>
        <v>08 08 80 07 00</v>
      </c>
    </row>
    <row r="8" spans="1:3" x14ac:dyDescent="0.2">
      <c r="A8" t="s">
        <v>232</v>
      </c>
      <c r="B8" s="15" t="s">
        <v>197</v>
      </c>
      <c r="C8" s="29" t="str">
        <f>Suivi!B10</f>
        <v>contact@anah.fr</v>
      </c>
    </row>
    <row r="9" spans="1:3" x14ac:dyDescent="0.2">
      <c r="A9" t="s">
        <v>3</v>
      </c>
      <c r="B9" s="15" t="s">
        <v>218</v>
      </c>
      <c r="C9" s="23" t="str">
        <f>'TPL - plan de financement'!C7</f>
        <v>8, avenue de l'Opéra</v>
      </c>
    </row>
    <row r="10" spans="1:3" x14ac:dyDescent="0.2">
      <c r="A10" t="s">
        <v>9</v>
      </c>
      <c r="B10" s="15" t="s">
        <v>194</v>
      </c>
      <c r="C10" s="29" t="str">
        <f>Suivi!E7</f>
        <v>75008</v>
      </c>
    </row>
    <row r="11" spans="1:3" x14ac:dyDescent="0.2">
      <c r="A11" t="s">
        <v>10</v>
      </c>
      <c r="B11" s="15" t="s">
        <v>195</v>
      </c>
      <c r="C11" s="29" t="str">
        <f>Suivi!E8</f>
        <v>Paris</v>
      </c>
    </row>
    <row r="12" spans="1:3" x14ac:dyDescent="0.2">
      <c r="A12" s="12" t="s">
        <v>333</v>
      </c>
      <c r="B12" s="12"/>
      <c r="C12" s="31"/>
    </row>
    <row r="13" spans="1:3" x14ac:dyDescent="0.2">
      <c r="A13" t="s">
        <v>309</v>
      </c>
      <c r="B13" s="15" t="s">
        <v>415</v>
      </c>
      <c r="C13" s="29" t="str">
        <f>Suivi!B38</f>
        <v>LA RAISON DE L'ACCOMPAGNATEUR</v>
      </c>
    </row>
    <row r="14" spans="1:3" x14ac:dyDescent="0.2">
      <c r="A14" t="s">
        <v>288</v>
      </c>
      <c r="B14" s="15" t="s">
        <v>416</v>
      </c>
      <c r="C14" s="29" t="str">
        <f>Suivi!B39</f>
        <v>2000405090004Z</v>
      </c>
    </row>
    <row r="15" spans="1:3" x14ac:dyDescent="0.2">
      <c r="A15" t="s">
        <v>11</v>
      </c>
      <c r="B15" s="15" t="s">
        <v>424</v>
      </c>
      <c r="C15" s="23" t="str">
        <f>Suivi!B36</f>
        <v>marius.martin@anah.fr</v>
      </c>
    </row>
    <row r="16" spans="1:3" x14ac:dyDescent="0.2">
      <c r="A16" t="s">
        <v>232</v>
      </c>
      <c r="B16" s="15" t="s">
        <v>425</v>
      </c>
      <c r="C16" s="29" t="str">
        <f>Suivi!B37</f>
        <v>08 08 80 07 00</v>
      </c>
    </row>
    <row r="17" spans="1:3" x14ac:dyDescent="0.2">
      <c r="A17" t="s">
        <v>3</v>
      </c>
      <c r="B17" s="15" t="s">
        <v>417</v>
      </c>
      <c r="C17" s="29" t="str">
        <f>Suivi!B40</f>
        <v>1 place de l'hotel de ville</v>
      </c>
    </row>
    <row r="18" spans="1:3" x14ac:dyDescent="0.2">
      <c r="A18" t="s">
        <v>9</v>
      </c>
      <c r="B18" s="15" t="s">
        <v>418</v>
      </c>
      <c r="C18" s="29" t="str">
        <f>Suivi!B41</f>
        <v>69001</v>
      </c>
    </row>
    <row r="19" spans="1:3" x14ac:dyDescent="0.2">
      <c r="A19" t="s">
        <v>10</v>
      </c>
      <c r="B19" s="15" t="s">
        <v>419</v>
      </c>
      <c r="C19" s="29" t="str">
        <f>Suivi!B42</f>
        <v>Lyon</v>
      </c>
    </row>
    <row r="20" spans="1:3" x14ac:dyDescent="0.2">
      <c r="A20" s="12" t="s">
        <v>423</v>
      </c>
      <c r="B20" s="12"/>
      <c r="C20" s="31"/>
    </row>
    <row r="21" spans="1:3" x14ac:dyDescent="0.2">
      <c r="A21" t="s">
        <v>54</v>
      </c>
      <c r="B21" s="15" t="s">
        <v>153</v>
      </c>
      <c r="C21" s="23" t="str">
        <f>C11</f>
        <v>Paris</v>
      </c>
    </row>
    <row r="22" spans="1:3" x14ac:dyDescent="0.2">
      <c r="A22" t="s">
        <v>55</v>
      </c>
      <c r="B22" s="15" t="s">
        <v>183</v>
      </c>
      <c r="C22" s="35" t="str">
        <f ca="1">TEXT(Suivi!B5,"jj/mm/aaaa")</f>
        <v>05/12/2024</v>
      </c>
    </row>
    <row r="23" spans="1:3" x14ac:dyDescent="0.2">
      <c r="A23" t="s">
        <v>54</v>
      </c>
      <c r="B23" s="15" t="s">
        <v>219</v>
      </c>
      <c r="C23" s="33" t="str">
        <f>Suivi!B42</f>
        <v>Lyon</v>
      </c>
    </row>
    <row r="24" spans="1:3" x14ac:dyDescent="0.2">
      <c r="A24" t="s">
        <v>55</v>
      </c>
      <c r="B24" s="15" t="s">
        <v>220</v>
      </c>
      <c r="C24" s="35" t="str">
        <f ca="1">TEXT(Suivi!B5,"jj/mm/aaaa")</f>
        <v>05/12/2024</v>
      </c>
    </row>
  </sheetData>
  <mergeCells count="2">
    <mergeCell ref="B1:C1"/>
    <mergeCell ref="B2:C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Suivi</vt:lpstr>
      <vt:lpstr>Paramètres</vt:lpstr>
      <vt:lpstr>TPL - plan de financement</vt:lpstr>
      <vt:lpstr>TPL - grille analyse</vt:lpstr>
      <vt:lpstr>TPL - attest CEE</vt:lpstr>
      <vt:lpstr>TPL - attest travaux (devis)</vt:lpstr>
      <vt:lpstr>TPL - attest travaux (fact)</vt:lpstr>
      <vt:lpstr>TPL - contrat 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Du PELOUX</dc:creator>
  <cp:lastModifiedBy>Lionel du Peloux</cp:lastModifiedBy>
  <dcterms:created xsi:type="dcterms:W3CDTF">2015-06-05T18:19:34Z</dcterms:created>
  <dcterms:modified xsi:type="dcterms:W3CDTF">2024-12-05T21:21:04Z</dcterms:modified>
</cp:coreProperties>
</file>