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oste87\Documents\00 - dev\github\mar-dossier\assets\"/>
    </mc:Choice>
  </mc:AlternateContent>
  <xr:revisionPtr revIDLastSave="0" documentId="13_ncr:1_{3723D4F8-C18D-4E38-AB80-D899AA8D9826}" xr6:coauthVersionLast="47" xr6:coauthVersionMax="47" xr10:uidLastSave="{00000000-0000-0000-0000-000000000000}"/>
  <bookViews>
    <workbookView xWindow="28680" yWindow="-120" windowWidth="29040" windowHeight="15840" tabRatio="538" activeTab="2" xr2:uid="{00000000-000D-0000-FFFF-FFFF00000000}"/>
  </bookViews>
  <sheets>
    <sheet name="Settings" sheetId="1" r:id="rId1"/>
    <sheet name="Plan de financement" sheetId="2" r:id="rId2"/>
    <sheet name="Attestation CEE" sheetId="3" r:id="rId3"/>
    <sheet name="Attestation travaux (devis)" sheetId="4" r:id="rId4"/>
    <sheet name="Attestation travaux (factures)" sheetId="5" r:id="rId5"/>
    <sheet name="Contrat AMO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C7" i="6"/>
  <c r="B2" i="6"/>
  <c r="C30" i="4"/>
  <c r="C29" i="4"/>
  <c r="C13" i="4"/>
  <c r="C12" i="4"/>
  <c r="C33" i="4"/>
  <c r="C26" i="4"/>
  <c r="C24" i="4"/>
  <c r="C23" i="4"/>
  <c r="C22" i="4"/>
  <c r="C31" i="4"/>
  <c r="E12" i="4"/>
  <c r="E13" i="4"/>
  <c r="C9" i="2"/>
  <c r="C10" i="2"/>
  <c r="C11" i="2"/>
  <c r="C8" i="2"/>
  <c r="E34" i="2"/>
  <c r="E35" i="2"/>
  <c r="F35" i="2" s="1"/>
  <c r="F18" i="2"/>
  <c r="F19" i="2"/>
  <c r="G19" i="2" s="1"/>
  <c r="C19" i="2" s="1"/>
  <c r="F20" i="2"/>
  <c r="F21" i="2"/>
  <c r="F22" i="2"/>
  <c r="F23" i="2"/>
  <c r="F24" i="2"/>
  <c r="F25" i="2"/>
  <c r="F26" i="2"/>
  <c r="F27" i="2"/>
  <c r="G27" i="2" s="1"/>
  <c r="C27" i="2" s="1"/>
  <c r="F28" i="2"/>
  <c r="G28" i="2" s="1"/>
  <c r="C28" i="2" s="1"/>
  <c r="F29" i="2"/>
  <c r="F30" i="2"/>
  <c r="F31" i="2"/>
  <c r="F32" i="2"/>
  <c r="F33" i="2"/>
  <c r="F34" i="2"/>
  <c r="F17" i="2"/>
  <c r="E33" i="2"/>
  <c r="E28" i="2"/>
  <c r="E27" i="2"/>
  <c r="E26" i="2"/>
  <c r="E24" i="2"/>
  <c r="E23" i="2"/>
  <c r="G23" i="2" s="1"/>
  <c r="C23" i="2" s="1"/>
  <c r="G24" i="2"/>
  <c r="C24" i="2" s="1"/>
  <c r="E22" i="2"/>
  <c r="E18" i="2"/>
  <c r="G18" i="2" s="1"/>
  <c r="C18" i="2" s="1"/>
  <c r="G22" i="2"/>
  <c r="C22" i="2" s="1"/>
  <c r="G29" i="2"/>
  <c r="C29" i="2" s="1"/>
  <c r="G30" i="2"/>
  <c r="C30" i="2" s="1"/>
  <c r="G31" i="2"/>
  <c r="C31" i="2" s="1"/>
  <c r="C17" i="4"/>
  <c r="C17" i="5" s="1"/>
  <c r="C16" i="4"/>
  <c r="C16" i="5" s="1"/>
  <c r="C15" i="4"/>
  <c r="C15" i="5" s="1"/>
  <c r="C75" i="4"/>
  <c r="C75" i="5" s="1"/>
  <c r="C66" i="5"/>
  <c r="B2" i="5"/>
  <c r="B2" i="4"/>
  <c r="B2" i="3"/>
  <c r="B2" i="2"/>
  <c r="E30" i="4"/>
  <c r="E31" i="4"/>
  <c r="E29" i="4"/>
  <c r="C32" i="4"/>
  <c r="C32" i="5" s="1"/>
  <c r="E33" i="4"/>
  <c r="C33" i="5" s="1"/>
  <c r="C28" i="4"/>
  <c r="C28" i="5" s="1"/>
  <c r="E26" i="4"/>
  <c r="C26" i="5" s="1"/>
  <c r="C25" i="4"/>
  <c r="C25" i="5" s="1"/>
  <c r="E23" i="4"/>
  <c r="C23" i="5" s="1"/>
  <c r="E24" i="4"/>
  <c r="C24" i="5" s="1"/>
  <c r="E22" i="4"/>
  <c r="C7" i="3"/>
  <c r="N31" i="1"/>
  <c r="N32" i="1"/>
  <c r="C73" i="5"/>
  <c r="C59" i="5"/>
  <c r="C58" i="5"/>
  <c r="C57" i="5"/>
  <c r="C56" i="5"/>
  <c r="C55" i="5"/>
  <c r="C54" i="5"/>
  <c r="C47" i="4"/>
  <c r="C47" i="5" s="1"/>
  <c r="C48" i="4"/>
  <c r="C48" i="5" s="1"/>
  <c r="C49" i="4"/>
  <c r="C49" i="5" s="1"/>
  <c r="C50" i="4"/>
  <c r="C50" i="5" s="1"/>
  <c r="C51" i="4"/>
  <c r="C51" i="5" s="1"/>
  <c r="C52" i="4"/>
  <c r="C52" i="5" s="1"/>
  <c r="C46" i="4"/>
  <c r="C46" i="5" s="1"/>
  <c r="C40" i="4"/>
  <c r="C40" i="5" s="1"/>
  <c r="C41" i="4"/>
  <c r="C41" i="5" s="1"/>
  <c r="C42" i="4"/>
  <c r="C42" i="5" s="1"/>
  <c r="C43" i="4"/>
  <c r="C43" i="5" s="1"/>
  <c r="C44" i="4"/>
  <c r="C44" i="5" s="1"/>
  <c r="C45" i="4"/>
  <c r="C45" i="5" s="1"/>
  <c r="C39" i="4"/>
  <c r="C39" i="5" s="1"/>
  <c r="F20" i="1"/>
  <c r="C68" i="4"/>
  <c r="C68" i="5" s="1"/>
  <c r="B5" i="1"/>
  <c r="C11" i="3" s="1"/>
  <c r="C72" i="4"/>
  <c r="C72" i="5" s="1"/>
  <c r="C74" i="4"/>
  <c r="C74" i="5" s="1"/>
  <c r="C20" i="4"/>
  <c r="C20" i="5" s="1"/>
  <c r="C19" i="4"/>
  <c r="C19" i="5" s="1"/>
  <c r="C18" i="4"/>
  <c r="C18" i="5" s="1"/>
  <c r="C7" i="2"/>
  <c r="C10" i="3"/>
  <c r="C14" i="6"/>
  <c r="C11" i="6"/>
  <c r="C12" i="6" s="1"/>
  <c r="C10" i="6"/>
  <c r="C9" i="6"/>
  <c r="C6" i="6"/>
  <c r="C5" i="6"/>
  <c r="C65" i="4"/>
  <c r="C65" i="5" s="1"/>
  <c r="C8" i="4"/>
  <c r="C8" i="5" s="1"/>
  <c r="C9" i="4"/>
  <c r="C9" i="5" s="1"/>
  <c r="C10" i="4"/>
  <c r="C10" i="5" s="1"/>
  <c r="C7" i="4"/>
  <c r="C7" i="5" s="1"/>
  <c r="C5" i="4"/>
  <c r="C5" i="5" s="1"/>
  <c r="C8" i="3"/>
  <c r="C37" i="2"/>
  <c r="C6" i="3"/>
  <c r="C5" i="3"/>
  <c r="C13" i="2"/>
  <c r="C38" i="2" s="1"/>
  <c r="C12" i="2"/>
  <c r="C15" i="2"/>
  <c r="C14" i="2"/>
  <c r="C6" i="2"/>
  <c r="C5" i="2"/>
  <c r="K13" i="1"/>
  <c r="N17" i="1" s="1"/>
  <c r="E17" i="2" s="1"/>
  <c r="L13" i="1"/>
  <c r="N20" i="1" s="1"/>
  <c r="M13" i="1"/>
  <c r="N13" i="1"/>
  <c r="C29" i="5" l="1"/>
  <c r="C30" i="5"/>
  <c r="C31" i="5"/>
  <c r="C22" i="5"/>
  <c r="C12" i="5"/>
  <c r="C13" i="5"/>
  <c r="C15" i="6"/>
  <c r="G34" i="2"/>
  <c r="C34" i="2" s="1"/>
  <c r="G17" i="2"/>
  <c r="C17" i="2" s="1"/>
  <c r="G26" i="2"/>
  <c r="C26" i="2" s="1"/>
  <c r="G35" i="2"/>
  <c r="C35" i="2" s="1"/>
  <c r="G33" i="2"/>
  <c r="C33" i="2" s="1"/>
  <c r="G32" i="2"/>
  <c r="C32" i="2" s="1"/>
  <c r="E21" i="2"/>
  <c r="G21" i="2" s="1"/>
  <c r="C21" i="2" s="1"/>
  <c r="C64" i="4"/>
  <c r="C64" i="5" s="1"/>
  <c r="C63" i="4"/>
  <c r="C63" i="5" s="1"/>
  <c r="C62" i="4"/>
  <c r="C62" i="5" s="1"/>
  <c r="C13" i="6"/>
  <c r="C69" i="5"/>
  <c r="C71" i="4"/>
  <c r="C71" i="5" s="1"/>
  <c r="C70" i="4"/>
  <c r="C70" i="5" s="1"/>
  <c r="C69" i="4"/>
  <c r="C41" i="2"/>
  <c r="C40" i="2"/>
  <c r="C39" i="2"/>
  <c r="N19" i="1"/>
  <c r="C37" i="4"/>
  <c r="C37" i="5" s="1"/>
  <c r="C35" i="4"/>
  <c r="C35" i="5" s="1"/>
  <c r="C36" i="4"/>
  <c r="C36" i="5" s="1"/>
  <c r="C61" i="4"/>
  <c r="C61" i="5" s="1"/>
  <c r="E20" i="2" l="1"/>
  <c r="G20" i="2" s="1"/>
  <c r="C20" i="2" s="1"/>
  <c r="N24" i="1"/>
  <c r="N36" i="1" s="1"/>
  <c r="G25" i="2" l="1"/>
  <c r="C25" i="2" s="1"/>
</calcChain>
</file>

<file path=xl/sharedStrings.xml><?xml version="1.0" encoding="utf-8"?>
<sst xmlns="http://schemas.openxmlformats.org/spreadsheetml/2006/main" count="530" uniqueCount="294">
  <si>
    <t>Demandeur</t>
  </si>
  <si>
    <t>Nom</t>
  </si>
  <si>
    <t>Prénom</t>
  </si>
  <si>
    <t>G</t>
  </si>
  <si>
    <t>Coullet</t>
  </si>
  <si>
    <t>Julien</t>
  </si>
  <si>
    <t>Désignation</t>
  </si>
  <si>
    <t>Adresse</t>
  </si>
  <si>
    <t>Numéro</t>
  </si>
  <si>
    <t>Voie</t>
  </si>
  <si>
    <t>Adresse (chantier)</t>
  </si>
  <si>
    <t>Batiment</t>
  </si>
  <si>
    <t>Etage</t>
  </si>
  <si>
    <t>Porte</t>
  </si>
  <si>
    <t>Escalier</t>
  </si>
  <si>
    <t>Code Postal</t>
  </si>
  <si>
    <t>Commune</t>
  </si>
  <si>
    <t>Téléphone</t>
  </si>
  <si>
    <t>Email</t>
  </si>
  <si>
    <t>e.macron@elysee.fr</t>
  </si>
  <si>
    <t>Dossier ANAH</t>
  </si>
  <si>
    <t>12345</t>
  </si>
  <si>
    <t>PO/PB</t>
  </si>
  <si>
    <t>PB</t>
  </si>
  <si>
    <t>Auditeur</t>
  </si>
  <si>
    <t>Audit</t>
  </si>
  <si>
    <t>Date Audit</t>
  </si>
  <si>
    <t>Numéro Audit</t>
  </si>
  <si>
    <t>Raison Auditeur</t>
  </si>
  <si>
    <t>Siret Auditeur</t>
  </si>
  <si>
    <t>Raison MAR</t>
  </si>
  <si>
    <t>Siret MAR</t>
  </si>
  <si>
    <t>Accompagnateur (MAR)</t>
  </si>
  <si>
    <t>Date 1ère Visite</t>
  </si>
  <si>
    <t>Etat Initial</t>
  </si>
  <si>
    <t>Etat Projeté</t>
  </si>
  <si>
    <t>Sref</t>
  </si>
  <si>
    <t>Etiquette</t>
  </si>
  <si>
    <t>Signature</t>
  </si>
  <si>
    <t>A12345678910</t>
  </si>
  <si>
    <t>24/12/2024</t>
  </si>
  <si>
    <t>CC DU CRESTOIS ET DU PAYS DE SAILLANS COEUR DE DROME</t>
  </si>
  <si>
    <t>20004050900040</t>
  </si>
  <si>
    <t>Lionel</t>
  </si>
  <si>
    <t>du Peloux</t>
  </si>
  <si>
    <t>Prénom MAR</t>
  </si>
  <si>
    <t>Nom MAR</t>
  </si>
  <si>
    <t>TOTAL</t>
  </si>
  <si>
    <t>RETENU MPRA</t>
  </si>
  <si>
    <t>Entreprise</t>
  </si>
  <si>
    <t>HT</t>
  </si>
  <si>
    <t>TTC</t>
  </si>
  <si>
    <t>ITI des murs</t>
  </si>
  <si>
    <t>FID</t>
  </si>
  <si>
    <t>Fenêtres &amp; Volets</t>
  </si>
  <si>
    <t>JMC Menuieries</t>
  </si>
  <si>
    <t>Performance</t>
  </si>
  <si>
    <t>Nombre Sauts</t>
  </si>
  <si>
    <r>
      <t>CEP  (kWh</t>
    </r>
    <r>
      <rPr>
        <vertAlign val="subscript"/>
        <sz val="11"/>
        <color theme="1"/>
        <rFont val="Calibri"/>
        <family val="2"/>
        <scheme val="minor"/>
      </rPr>
      <t>ep</t>
    </r>
    <r>
      <rPr>
        <sz val="11"/>
        <color theme="1"/>
        <rFont val="Calibri"/>
        <family val="2"/>
        <scheme val="minor"/>
      </rPr>
      <t>/m²/an)</t>
    </r>
  </si>
  <si>
    <r>
      <t>CEF (kWh</t>
    </r>
    <r>
      <rPr>
        <vertAlign val="subscript"/>
        <sz val="11"/>
        <color theme="1"/>
        <rFont val="Calibri"/>
        <family val="2"/>
        <scheme val="minor"/>
      </rPr>
      <t>ef</t>
    </r>
    <r>
      <rPr>
        <sz val="11"/>
        <color theme="1"/>
        <rFont val="Calibri"/>
        <family val="2"/>
        <scheme val="minor"/>
      </rPr>
      <t>/m²/an)</t>
    </r>
  </si>
  <si>
    <r>
      <t>EGES (kgCO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/m2/an)</t>
    </r>
  </si>
  <si>
    <t>Plan de Financement</t>
  </si>
  <si>
    <t>Poste</t>
  </si>
  <si>
    <t>N°</t>
  </si>
  <si>
    <t>MaPrimeRénov  - parcours accompagné</t>
  </si>
  <si>
    <t>MaPrimeRénov' - geste par geste</t>
  </si>
  <si>
    <t>département</t>
  </si>
  <si>
    <t>commune ou collectivité</t>
  </si>
  <si>
    <t>région</t>
  </si>
  <si>
    <t>COUTS TRAVAUX</t>
  </si>
  <si>
    <t>Honoraires d'assistance à maîtrise d'ouvrage</t>
  </si>
  <si>
    <t>Bâtiment</t>
  </si>
  <si>
    <t>Tél</t>
  </si>
  <si>
    <t>Mél</t>
  </si>
  <si>
    <t>Coût total des travaux à réaliser</t>
  </si>
  <si>
    <t>Honoraires d’assistance à maîtrise d’ouvrage</t>
  </si>
  <si>
    <t>Honoraires de maîtrise d’œuvre</t>
  </si>
  <si>
    <t xml:space="preserve">Montant total des dépenses HT </t>
  </si>
  <si>
    <t>Montant total des dépenses TTC</t>
  </si>
  <si>
    <t>Prêt bancaire</t>
  </si>
  <si>
    <t xml:space="preserve">Apport de fonds personnels </t>
  </si>
  <si>
    <t xml:space="preserve">Aide de l’Anah </t>
  </si>
  <si>
    <t>Aide du FART (programme "Habiter Mieux")</t>
  </si>
  <si>
    <t>Commune ou établissement public de coopération intercommunale</t>
  </si>
  <si>
    <t>Département</t>
  </si>
  <si>
    <t>Région</t>
  </si>
  <si>
    <t>Union européenne</t>
  </si>
  <si>
    <t>Caisses de retraite - régime de bas</t>
  </si>
  <si>
    <t>Caisses de retraite complémentaires obligatoire</t>
  </si>
  <si>
    <t>Autre aide publique (ADEME, Agence de l’eau …)</t>
  </si>
  <si>
    <t>Total des aides publiques</t>
  </si>
  <si>
    <t>Autres aides</t>
  </si>
  <si>
    <t>Total des ressources</t>
  </si>
  <si>
    <t>Fait à</t>
  </si>
  <si>
    <t>Fait le</t>
  </si>
  <si>
    <t xml:space="preserve">Je soussigné(e), nom et prénom </t>
  </si>
  <si>
    <t>Numéro de dossier</t>
  </si>
  <si>
    <t>Adresse du logement à rénover</t>
  </si>
  <si>
    <t>Identité du demandeur</t>
  </si>
  <si>
    <t>Financement des travaux</t>
  </si>
  <si>
    <t>Signature demandeur</t>
  </si>
  <si>
    <t xml:space="preserve">NOM, Prénom(s) du demandeur </t>
  </si>
  <si>
    <t>Ville</t>
  </si>
  <si>
    <t>Coût total des travaux éligibles (HT)</t>
  </si>
  <si>
    <t>Coût total des travaux éligibles (TTC)</t>
  </si>
  <si>
    <t xml:space="preserve">Identifiant de l’audit énergétique (n°) </t>
  </si>
  <si>
    <t>Situation initiale du logement (« avant travaux »)</t>
  </si>
  <si>
    <t xml:space="preserve">Classe de performance énergétique (de A à G) </t>
  </si>
  <si>
    <t xml:space="preserve">Surface de référence du logement en m² </t>
  </si>
  <si>
    <t>Situation du logement projetée dans le scénario de travaux retenu (« après travaux »)</t>
  </si>
  <si>
    <t>Référence ou n° du scénario retenu</t>
  </si>
  <si>
    <t>Consommation annuelle d’énergie primaire (kWh/m²/an)</t>
  </si>
  <si>
    <t>Consommation annuelle d’énergie finale (kWh/m²/an)</t>
  </si>
  <si>
    <r>
      <t>Emissions annuelles de gaz à effet de serre (kgCO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eq/m2/an )</t>
    </r>
  </si>
  <si>
    <t>Gain de classes de performance énergétique associé au projet de travaux</t>
  </si>
  <si>
    <t>Gain de 2 classes</t>
  </si>
  <si>
    <t>Gain de 3 classes</t>
  </si>
  <si>
    <t>Gain de 4 classes ou plus</t>
  </si>
  <si>
    <t>travaux_1_description</t>
  </si>
  <si>
    <t>travaux_1_cout_ht_ttc</t>
  </si>
  <si>
    <t>1. description poste de travaux</t>
  </si>
  <si>
    <t>1. coût des travaux en €HT / €TTC</t>
  </si>
  <si>
    <t>2. description poste de travaux</t>
  </si>
  <si>
    <t>2. coût des travaux en €HT / €TTC</t>
  </si>
  <si>
    <t>3. description poste de travaux</t>
  </si>
  <si>
    <t>3. coût des travaux en €HT / €TTC</t>
  </si>
  <si>
    <t>4. description poste de travaux</t>
  </si>
  <si>
    <t>4. coût des travaux en €HT / €TTC</t>
  </si>
  <si>
    <t>5. description poste de travaux</t>
  </si>
  <si>
    <t>5. coût des travaux en €HT / €TTC</t>
  </si>
  <si>
    <t>6. description poste de travaux</t>
  </si>
  <si>
    <t>6. coût des travaux en €HT / €TTC</t>
  </si>
  <si>
    <t>7. description poste de travaux</t>
  </si>
  <si>
    <t>7. coût des travaux en €HT / €TTC</t>
  </si>
  <si>
    <t>1. Identité du demandeur</t>
  </si>
  <si>
    <t>2. Adresse du chantier</t>
  </si>
  <si>
    <t>3. Synthèse des travaux éligibles</t>
  </si>
  <si>
    <t>4. Synthèse de l'audit énergétique</t>
  </si>
  <si>
    <t>5. Description des travaux éligibles</t>
  </si>
  <si>
    <t>6. Demande de dérogation aux critères</t>
  </si>
  <si>
    <t>1. description paroi concernée</t>
  </si>
  <si>
    <t>1. motif</t>
  </si>
  <si>
    <t>2. description paroi concernée</t>
  </si>
  <si>
    <t>2. motif</t>
  </si>
  <si>
    <t>3. description paroi concernée</t>
  </si>
  <si>
    <t>3. motif</t>
  </si>
  <si>
    <t xml:space="preserve">NOM, Prénom(s) et signature du demandeur </t>
  </si>
  <si>
    <t>demandeur_nom_prenom</t>
  </si>
  <si>
    <t>chantier_adresse_numero</t>
  </si>
  <si>
    <t>chantier_adresse_voie</t>
  </si>
  <si>
    <t>chantier_adresse_code_postal</t>
  </si>
  <si>
    <t>chantier_adresse_ville</t>
  </si>
  <si>
    <t>travaux_cout_ht</t>
  </si>
  <si>
    <t>travaux_cout_ttc</t>
  </si>
  <si>
    <t>audit_date_jj</t>
  </si>
  <si>
    <t>audit_date_mm</t>
  </si>
  <si>
    <t>audit_date_aaaa</t>
  </si>
  <si>
    <t>audit_id</t>
  </si>
  <si>
    <t>auditeur_raison_sociale</t>
  </si>
  <si>
    <t>auditeur_siret</t>
  </si>
  <si>
    <t>situation_initiale_cep</t>
  </si>
  <si>
    <t>situation_initiale_cef</t>
  </si>
  <si>
    <t>situation_initiale_eges</t>
  </si>
  <si>
    <t>situation_initiale_classe_dpe</t>
  </si>
  <si>
    <t>situation_initiale_sref</t>
  </si>
  <si>
    <t>situation_finale_ref_scenario</t>
  </si>
  <si>
    <t>situation_finale_cep</t>
  </si>
  <si>
    <t>situation_finale_cef</t>
  </si>
  <si>
    <t>situation_finale_eges</t>
  </si>
  <si>
    <t>situation_finale_classe_dpe</t>
  </si>
  <si>
    <t>situation_finale_sref</t>
  </si>
  <si>
    <t>situation_finale_gain_2_classes</t>
  </si>
  <si>
    <t>situation_finale_gain_3_classes</t>
  </si>
  <si>
    <t>situation_finale_gain_4_classes</t>
  </si>
  <si>
    <t>travaux_2_description</t>
  </si>
  <si>
    <t>travaux_2_cout_ht_ttc</t>
  </si>
  <si>
    <t>travaux_3_description</t>
  </si>
  <si>
    <t>travaux_3_cout_ht_ttc</t>
  </si>
  <si>
    <t>travaux_4_description</t>
  </si>
  <si>
    <t>travaux_4_cout_ht_ttc</t>
  </si>
  <si>
    <t>travaux_5_description</t>
  </si>
  <si>
    <t>travaux_5_cout_ht_ttc</t>
  </si>
  <si>
    <t>travaux_6_description</t>
  </si>
  <si>
    <t>travaux_6_cout_ht_ttc</t>
  </si>
  <si>
    <t>travaux_7_description</t>
  </si>
  <si>
    <t>travaux_7_cout_ht_ttc</t>
  </si>
  <si>
    <t>derogation_1_paroi</t>
  </si>
  <si>
    <t>derogation_1_motif</t>
  </si>
  <si>
    <t>derogation_2_paroi</t>
  </si>
  <si>
    <t>derogation_2_motif</t>
  </si>
  <si>
    <t>derogation_3_paroi</t>
  </si>
  <si>
    <t>derogation_3_motif</t>
  </si>
  <si>
    <t>demandeur_fait_lieu</t>
  </si>
  <si>
    <t>demandeur_fait_le_jj</t>
  </si>
  <si>
    <t>demandeur_fait_le_mm</t>
  </si>
  <si>
    <t>demandeur_fait_le_aaaa</t>
  </si>
  <si>
    <t>demandeur_designation</t>
  </si>
  <si>
    <t>demandeur_signature</t>
  </si>
  <si>
    <t>accompagnateur_fait_lieu</t>
  </si>
  <si>
    <t>accompagnateur_fait_le_jj</t>
  </si>
  <si>
    <t>accompagnateur_fait_le_mm</t>
  </si>
  <si>
    <t>accompagnateur_fait_le_aaaa</t>
  </si>
  <si>
    <t>accompagnateur_designation</t>
  </si>
  <si>
    <t>accompagnateur_signature</t>
  </si>
  <si>
    <t>accompagnateur_raison_sociale</t>
  </si>
  <si>
    <t>accompagnateur_siret</t>
  </si>
  <si>
    <t>Date de réalisation de l’audit énergétique : mm</t>
  </si>
  <si>
    <t>Date de réalisation de l’audit énergétique : jj</t>
  </si>
  <si>
    <t>Date de réalisation de l’audit énergétique : aaaa</t>
  </si>
  <si>
    <t>Fait le : jj</t>
  </si>
  <si>
    <t>Fait le : mm</t>
  </si>
  <si>
    <t>Fait le : aaaa</t>
  </si>
  <si>
    <t>Siganture du demandeur</t>
  </si>
  <si>
    <t>Signature accompagnateur</t>
  </si>
  <si>
    <t xml:space="preserve">NOM, Prénom(s) et signature de l'accompagnateur </t>
  </si>
  <si>
    <t xml:space="preserve">Siganture de l'accompagnateur </t>
  </si>
  <si>
    <t>Raison sociale de l'auditeur</t>
  </si>
  <si>
    <t>N° SIRET de l auditeur</t>
  </si>
  <si>
    <t xml:space="preserve">Raison sociale de l'accompagnateur </t>
  </si>
  <si>
    <t xml:space="preserve">N° SIRET de l'accompagnateur </t>
  </si>
  <si>
    <t>numero_dossier</t>
  </si>
  <si>
    <t>type_demandeur</t>
  </si>
  <si>
    <t>demandeur_fait_le</t>
  </si>
  <si>
    <t>chantier_adresse</t>
  </si>
  <si>
    <t>signature du demandeur</t>
  </si>
  <si>
    <t>En tant que propriétaire  …</t>
  </si>
  <si>
    <t>demandeur_nom</t>
  </si>
  <si>
    <t>demandeur_prenom</t>
  </si>
  <si>
    <t>demandeur_adresse_voie</t>
  </si>
  <si>
    <t>demandeur_adresse_batiment</t>
  </si>
  <si>
    <t>demandeur_adresse_etage</t>
  </si>
  <si>
    <t>demandeur_adresse_porte</t>
  </si>
  <si>
    <t>demandeur_adresse_escalier</t>
  </si>
  <si>
    <t>demandeur_adresse_code_postal</t>
  </si>
  <si>
    <t>demandeur_adresse_ville</t>
  </si>
  <si>
    <t>demandeur_telephone</t>
  </si>
  <si>
    <t>demandeur_email</t>
  </si>
  <si>
    <t>montant_1</t>
  </si>
  <si>
    <t>montant_2</t>
  </si>
  <si>
    <t>montant_3</t>
  </si>
  <si>
    <t>montant_4</t>
  </si>
  <si>
    <t>montant_5</t>
  </si>
  <si>
    <t>montant_6</t>
  </si>
  <si>
    <t>montant_7</t>
  </si>
  <si>
    <t>montant_8</t>
  </si>
  <si>
    <t>montant_9</t>
  </si>
  <si>
    <t>montant_10</t>
  </si>
  <si>
    <t>montant_11</t>
  </si>
  <si>
    <t>montant_12</t>
  </si>
  <si>
    <t>montant_13</t>
  </si>
  <si>
    <t>montant_14</t>
  </si>
  <si>
    <t>montant_15</t>
  </si>
  <si>
    <t>montant_16</t>
  </si>
  <si>
    <t>montant_17</t>
  </si>
  <si>
    <t>montant_18</t>
  </si>
  <si>
    <t>montant_19</t>
  </si>
  <si>
    <t>Signature du demandeur</t>
  </si>
  <si>
    <t>Contrat AMO</t>
  </si>
  <si>
    <t>demandeur_adresse</t>
  </si>
  <si>
    <t>amo_fait_lieu</t>
  </si>
  <si>
    <t>amo_fait_le</t>
  </si>
  <si>
    <t>Aouste-Sur-Sye</t>
  </si>
  <si>
    <t>anah_mpra_plan_financement.template.pdf</t>
  </si>
  <si>
    <t>anah_mpra_attestation_cee.template.pdf</t>
  </si>
  <si>
    <t>anah_mpra_attestation_travaux_devis.template.pdf</t>
  </si>
  <si>
    <t>anah_mpra_attestation_travaux_factures.template.pdf</t>
  </si>
  <si>
    <t>Dates</t>
  </si>
  <si>
    <t>Format HT</t>
  </si>
  <si>
    <t>Format TTC</t>
  </si>
  <si>
    <t>D</t>
  </si>
  <si>
    <t>Ref Scénario</t>
  </si>
  <si>
    <t>147</t>
  </si>
  <si>
    <t>rue des Liotards</t>
  </si>
  <si>
    <t>26150</t>
  </si>
  <si>
    <t>Romeyer</t>
  </si>
  <si>
    <t>S3 (retenu MPRA)</t>
  </si>
  <si>
    <t>contrat_amo.template.docx</t>
  </si>
  <si>
    <t>0683383244</t>
  </si>
  <si>
    <t>Apports e fonds personnels</t>
  </si>
  <si>
    <t>EMPLOIS</t>
  </si>
  <si>
    <t>RESSOURCES</t>
  </si>
  <si>
    <t>Montant total des dépenses HT</t>
  </si>
  <si>
    <t>Total des aides de l'ANAH</t>
  </si>
  <si>
    <t>DESCRIPTION</t>
  </si>
  <si>
    <t>KEY</t>
  </si>
  <si>
    <t>VALUE</t>
  </si>
  <si>
    <t>TEMPLATE FILENAME</t>
  </si>
  <si>
    <t>OUTPUT FILENAME</t>
  </si>
  <si>
    <t>Nombre</t>
  </si>
  <si>
    <t>Text</t>
  </si>
  <si>
    <t>RPad sur 5 char</t>
  </si>
  <si>
    <t># ##0 €"HT"</t>
  </si>
  <si>
    <t># ##0 €"TTC"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</si>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</sst>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"/>
    <numFmt numFmtId="165" formatCode="_-* #,##0.00\ [$€-40C]_-;\-* #,##0.00\ [$€-40C]_-;_-* &quot;-&quot;??\ [$€-40C]_-;_-@_-"/>
    <numFmt numFmtId="166" formatCode="0&quot; m²&quot;"/>
    <numFmt numFmtId="167" formatCode="#,##0\ &quot;€&quot;"/>
    <numFmt numFmtId="169" formatCode="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sz val="9"/>
      <color rgb="FF000000"/>
      <name val="Calibri"/>
      <family val="2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3" fillId="4" borderId="0" xfId="0" applyFont="1" applyFill="1"/>
    <xf numFmtId="0" fontId="3" fillId="5" borderId="0" xfId="0" applyFont="1" applyFill="1"/>
    <xf numFmtId="0" fontId="0" fillId="5" borderId="0" xfId="0" applyFill="1"/>
    <xf numFmtId="49" fontId="4" fillId="3" borderId="0" xfId="0" applyNumberFormat="1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4" borderId="0" xfId="0" applyNumberFormat="1" applyFont="1" applyFill="1" applyAlignment="1">
      <alignment horizontal="left"/>
    </xf>
    <xf numFmtId="49" fontId="7" fillId="6" borderId="0" xfId="0" applyNumberFormat="1" applyFont="1" applyFill="1" applyAlignment="1">
      <alignment horizontal="left"/>
    </xf>
    <xf numFmtId="49" fontId="8" fillId="6" borderId="0" xfId="2" applyNumberFormat="1" applyFont="1" applyFill="1" applyAlignment="1">
      <alignment horizontal="left"/>
    </xf>
    <xf numFmtId="14" fontId="7" fillId="6" borderId="0" xfId="0" applyNumberFormat="1" applyFont="1" applyFill="1" applyAlignment="1">
      <alignment horizontal="left"/>
    </xf>
    <xf numFmtId="0" fontId="9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12" fillId="3" borderId="0" xfId="0" applyFont="1" applyFill="1"/>
    <xf numFmtId="49" fontId="13" fillId="3" borderId="0" xfId="0" applyNumberFormat="1" applyFont="1" applyFill="1" applyAlignment="1">
      <alignment horizontal="left"/>
    </xf>
    <xf numFmtId="166" fontId="6" fillId="6" borderId="0" xfId="0" applyNumberFormat="1" applyFont="1" applyFill="1" applyAlignment="1">
      <alignment horizontal="right"/>
    </xf>
    <xf numFmtId="2" fontId="6" fillId="6" borderId="0" xfId="0" applyNumberFormat="1" applyFont="1" applyFill="1" applyAlignment="1">
      <alignment horizontal="right"/>
    </xf>
    <xf numFmtId="0" fontId="7" fillId="0" borderId="0" xfId="0" applyFont="1"/>
    <xf numFmtId="0" fontId="0" fillId="0" borderId="1" xfId="0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0" fontId="0" fillId="8" borderId="0" xfId="0" applyFill="1" applyAlignment="1">
      <alignment horizontal="left"/>
    </xf>
    <xf numFmtId="0" fontId="3" fillId="0" borderId="8" xfId="0" applyFont="1" applyBorder="1" applyAlignment="1">
      <alignment horizontal="right"/>
    </xf>
    <xf numFmtId="0" fontId="3" fillId="0" borderId="8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15" fillId="0" borderId="13" xfId="1" applyNumberFormat="1" applyFont="1" applyFill="1" applyBorder="1" applyAlignment="1">
      <alignment horizontal="right"/>
    </xf>
    <xf numFmtId="164" fontId="15" fillId="0" borderId="14" xfId="0" applyNumberFormat="1" applyFont="1" applyBorder="1" applyAlignment="1">
      <alignment horizontal="right"/>
    </xf>
    <xf numFmtId="165" fontId="15" fillId="0" borderId="15" xfId="1" applyNumberFormat="1" applyFont="1" applyFill="1" applyBorder="1" applyAlignment="1">
      <alignment horizontal="right"/>
    </xf>
    <xf numFmtId="164" fontId="15" fillId="0" borderId="16" xfId="0" applyNumberFormat="1" applyFont="1" applyBorder="1" applyAlignment="1">
      <alignment horizontal="right"/>
    </xf>
    <xf numFmtId="164" fontId="7" fillId="0" borderId="15" xfId="0" applyNumberFormat="1" applyFont="1" applyBorder="1"/>
    <xf numFmtId="164" fontId="7" fillId="0" borderId="16" xfId="0" applyNumberFormat="1" applyFont="1" applyBorder="1"/>
    <xf numFmtId="164" fontId="7" fillId="0" borderId="17" xfId="0" applyNumberFormat="1" applyFont="1" applyBorder="1"/>
    <xf numFmtId="164" fontId="7" fillId="0" borderId="18" xfId="0" applyNumberFormat="1" applyFont="1" applyBorder="1"/>
    <xf numFmtId="164" fontId="11" fillId="0" borderId="19" xfId="0" applyNumberFormat="1" applyFont="1" applyBorder="1"/>
    <xf numFmtId="164" fontId="11" fillId="0" borderId="20" xfId="0" applyNumberFormat="1" applyFont="1" applyBorder="1"/>
    <xf numFmtId="0" fontId="3" fillId="0" borderId="22" xfId="0" applyFont="1" applyBorder="1" applyAlignment="1">
      <alignment horizontal="center"/>
    </xf>
    <xf numFmtId="164" fontId="15" fillId="0" borderId="4" xfId="0" applyNumberFormat="1" applyFont="1" applyBorder="1" applyAlignment="1">
      <alignment horizontal="right"/>
    </xf>
    <xf numFmtId="164" fontId="15" fillId="0" borderId="5" xfId="0" applyNumberFormat="1" applyFont="1" applyBorder="1" applyAlignment="1">
      <alignment horizontal="right"/>
    </xf>
    <xf numFmtId="164" fontId="11" fillId="0" borderId="7" xfId="0" applyNumberFormat="1" applyFont="1" applyBorder="1"/>
    <xf numFmtId="165" fontId="15" fillId="0" borderId="14" xfId="0" applyNumberFormat="1" applyFont="1" applyBorder="1" applyAlignment="1">
      <alignment horizontal="right"/>
    </xf>
    <xf numFmtId="165" fontId="15" fillId="0" borderId="16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6" fillId="9" borderId="0" xfId="0" applyFont="1" applyFill="1"/>
    <xf numFmtId="0" fontId="16" fillId="9" borderId="0" xfId="0" applyFont="1" applyFill="1" applyAlignment="1">
      <alignment wrapText="1"/>
    </xf>
    <xf numFmtId="0" fontId="16" fillId="7" borderId="0" xfId="0" applyFont="1" applyFill="1"/>
    <xf numFmtId="0" fontId="17" fillId="0" borderId="0" xfId="0" applyFont="1"/>
    <xf numFmtId="0" fontId="17" fillId="0" borderId="1" xfId="0" applyFont="1" applyBorder="1"/>
    <xf numFmtId="0" fontId="18" fillId="0" borderId="0" xfId="0" applyFont="1"/>
    <xf numFmtId="0" fontId="0" fillId="0" borderId="2" xfId="0" applyBorder="1"/>
    <xf numFmtId="49" fontId="2" fillId="10" borderId="0" xfId="0" applyNumberFormat="1" applyFont="1" applyFill="1" applyAlignment="1">
      <alignment horizontal="right"/>
    </xf>
    <xf numFmtId="49" fontId="10" fillId="0" borderId="0" xfId="0" applyNumberFormat="1" applyFont="1" applyAlignment="1">
      <alignment horizontal="right"/>
    </xf>
    <xf numFmtId="49" fontId="7" fillId="0" borderId="2" xfId="0" applyNumberFormat="1" applyFont="1" applyBorder="1"/>
    <xf numFmtId="49" fontId="7" fillId="0" borderId="3" xfId="0" applyNumberFormat="1" applyFont="1" applyBorder="1"/>
    <xf numFmtId="49" fontId="7" fillId="0" borderId="1" xfId="0" applyNumberFormat="1" applyFont="1" applyBorder="1"/>
    <xf numFmtId="1" fontId="0" fillId="0" borderId="0" xfId="0" applyNumberFormat="1"/>
    <xf numFmtId="0" fontId="0" fillId="6" borderId="0" xfId="0" applyFill="1" applyAlignment="1">
      <alignment horizontal="right"/>
    </xf>
    <xf numFmtId="167" fontId="0" fillId="0" borderId="0" xfId="0" applyNumberFormat="1"/>
    <xf numFmtId="0" fontId="0" fillId="8" borderId="24" xfId="0" applyFill="1" applyBorder="1" applyAlignment="1">
      <alignment horizontal="left"/>
    </xf>
    <xf numFmtId="0" fontId="0" fillId="0" borderId="3" xfId="0" applyBorder="1"/>
    <xf numFmtId="167" fontId="15" fillId="0" borderId="25" xfId="0" applyNumberFormat="1" applyFont="1" applyBorder="1" applyAlignment="1">
      <alignment horizontal="right"/>
    </xf>
    <xf numFmtId="167" fontId="15" fillId="0" borderId="29" xfId="0" applyNumberFormat="1" applyFont="1" applyBorder="1" applyAlignment="1">
      <alignment horizontal="right"/>
    </xf>
    <xf numFmtId="167" fontId="0" fillId="8" borderId="24" xfId="0" applyNumberFormat="1" applyFill="1" applyBorder="1" applyAlignment="1">
      <alignment horizontal="left"/>
    </xf>
    <xf numFmtId="167" fontId="15" fillId="0" borderId="27" xfId="0" applyNumberFormat="1" applyFont="1" applyBorder="1" applyAlignment="1">
      <alignment horizontal="right"/>
    </xf>
    <xf numFmtId="167" fontId="15" fillId="0" borderId="30" xfId="0" applyNumberFormat="1" applyFont="1" applyBorder="1" applyAlignment="1">
      <alignment horizontal="right"/>
    </xf>
    <xf numFmtId="167" fontId="15" fillId="0" borderId="26" xfId="0" applyNumberFormat="1" applyFont="1" applyBorder="1" applyAlignment="1">
      <alignment horizontal="right"/>
    </xf>
    <xf numFmtId="167" fontId="15" fillId="0" borderId="23" xfId="0" applyNumberFormat="1" applyFont="1" applyBorder="1" applyAlignment="1">
      <alignment horizontal="right"/>
    </xf>
    <xf numFmtId="0" fontId="11" fillId="0" borderId="0" xfId="0" applyFont="1"/>
    <xf numFmtId="167" fontId="11" fillId="0" borderId="31" xfId="0" applyNumberFormat="1" applyFont="1" applyBorder="1"/>
    <xf numFmtId="167" fontId="11" fillId="0" borderId="28" xfId="0" applyNumberFormat="1" applyFont="1" applyBorder="1"/>
    <xf numFmtId="167" fontId="19" fillId="0" borderId="28" xfId="0" applyNumberFormat="1" applyFont="1" applyBorder="1" applyAlignment="1">
      <alignment horizontal="right"/>
    </xf>
    <xf numFmtId="167" fontId="11" fillId="0" borderId="23" xfId="0" applyNumberFormat="1" applyFont="1" applyBorder="1"/>
    <xf numFmtId="167" fontId="19" fillId="0" borderId="32" xfId="0" applyNumberFormat="1" applyFont="1" applyBorder="1" applyAlignment="1">
      <alignment horizontal="right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16" fillId="9" borderId="0" xfId="0" applyFont="1" applyFill="1" applyAlignment="1">
      <alignment horizontal="left"/>
    </xf>
    <xf numFmtId="0" fontId="16" fillId="7" borderId="0" xfId="0" applyFont="1" applyFill="1" applyAlignment="1">
      <alignment horizontal="left"/>
    </xf>
    <xf numFmtId="0" fontId="12" fillId="10" borderId="0" xfId="0" applyFont="1" applyFill="1"/>
    <xf numFmtId="0" fontId="12" fillId="3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right"/>
    </xf>
    <xf numFmtId="14" fontId="0" fillId="6" borderId="0" xfId="0" applyNumberFormat="1" applyFill="1"/>
    <xf numFmtId="0" fontId="12" fillId="11" borderId="0" xfId="0" applyFont="1" applyFill="1"/>
    <xf numFmtId="0" fontId="12" fillId="11" borderId="0" xfId="0" applyFont="1" applyFill="1" applyAlignment="1">
      <alignment horizontal="right"/>
    </xf>
    <xf numFmtId="20" fontId="0" fillId="0" borderId="0" xfId="0" applyNumberFormat="1"/>
    <xf numFmtId="0" fontId="0" fillId="0" borderId="0" xfId="0" applyAlignment="1">
      <alignment horizontal="right"/>
    </xf>
    <xf numFmtId="0" fontId="20" fillId="0" borderId="0" xfId="0" applyFont="1" applyAlignment="1">
      <alignment horizontal="left"/>
    </xf>
    <xf numFmtId="167" fontId="20" fillId="0" borderId="0" xfId="0" applyNumberFormat="1" applyFont="1" applyAlignment="1">
      <alignment horizontal="right"/>
    </xf>
    <xf numFmtId="2" fontId="0" fillId="0" borderId="0" xfId="0" applyNumberFormat="1"/>
    <xf numFmtId="0" fontId="20" fillId="0" borderId="0" xfId="0" applyNumberFormat="1" applyFont="1" applyAlignment="1">
      <alignment horizontal="right"/>
    </xf>
    <xf numFmtId="1" fontId="20" fillId="0" borderId="0" xfId="0" applyNumberFormat="1" applyFont="1"/>
    <xf numFmtId="0" fontId="20" fillId="0" borderId="0" xfId="0" applyFont="1"/>
    <xf numFmtId="0" fontId="20" fillId="0" borderId="0" xfId="0" applyFont="1" applyAlignment="1">
      <alignment horizontal="right"/>
    </xf>
    <xf numFmtId="167" fontId="20" fillId="0" borderId="1" xfId="0" applyNumberFormat="1" applyFont="1" applyBorder="1" applyAlignment="1">
      <alignment horizontal="right"/>
    </xf>
    <xf numFmtId="167" fontId="21" fillId="0" borderId="0" xfId="0" applyNumberFormat="1" applyFont="1" applyAlignment="1">
      <alignment horizontal="right"/>
    </xf>
    <xf numFmtId="167" fontId="20" fillId="6" borderId="0" xfId="0" applyNumberFormat="1" applyFont="1" applyFill="1" applyAlignment="1">
      <alignment horizontal="right"/>
    </xf>
    <xf numFmtId="2" fontId="0" fillId="6" borderId="0" xfId="0" applyNumberFormat="1" applyFill="1" applyAlignment="1">
      <alignment horizontal="left"/>
    </xf>
    <xf numFmtId="0" fontId="12" fillId="3" borderId="0" xfId="0" applyFont="1" applyFill="1" applyAlignment="1">
      <alignment horizontal="right" vertical="center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Alignment="1">
      <alignment horizontal="right"/>
    </xf>
    <xf numFmtId="0" fontId="16" fillId="9" borderId="0" xfId="0" applyFont="1" applyFill="1" applyAlignment="1">
      <alignment horizontal="right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16" fillId="7" borderId="0" xfId="0" applyFont="1" applyFill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 vertical="top" wrapText="1"/>
    </xf>
  </cellXfs>
  <cellStyles count="3">
    <cellStyle name="Lien hypertexte" xfId="2" builtinId="8"/>
    <cellStyle name="Normal" xfId="0" builtinId="0"/>
    <cellStyle name="Pourcentage" xfId="1" builtinId="5"/>
  </cellStyles>
  <dxfs count="14">
    <dxf>
      <fill>
        <patternFill>
          <bgColor rgb="FF009C6D"/>
        </patternFill>
      </fill>
    </dxf>
    <dxf>
      <fill>
        <patternFill>
          <bgColor rgb="FF52B153"/>
        </patternFill>
      </fill>
    </dxf>
    <dxf>
      <fill>
        <patternFill>
          <bgColor rgb="FF78BD76"/>
        </patternFill>
      </fill>
    </dxf>
    <dxf>
      <fill>
        <patternFill>
          <bgColor rgb="FFF4E70F"/>
        </patternFill>
      </fill>
    </dxf>
    <dxf>
      <fill>
        <patternFill>
          <bgColor rgb="FFF0B50F"/>
        </patternFill>
      </fill>
    </dxf>
    <dxf>
      <fill>
        <patternFill>
          <bgColor rgb="FFEB8235"/>
        </patternFill>
      </fill>
    </dxf>
    <dxf>
      <fill>
        <patternFill>
          <bgColor rgb="FFD7221F"/>
        </patternFill>
      </fill>
    </dxf>
    <dxf>
      <fill>
        <patternFill>
          <bgColor rgb="FF009C6D"/>
        </patternFill>
      </fill>
    </dxf>
    <dxf>
      <fill>
        <patternFill>
          <bgColor rgb="FF52B153"/>
        </patternFill>
      </fill>
    </dxf>
    <dxf>
      <fill>
        <patternFill>
          <bgColor rgb="FF78BD76"/>
        </patternFill>
      </fill>
    </dxf>
    <dxf>
      <fill>
        <patternFill>
          <bgColor rgb="FFF4E70F"/>
        </patternFill>
      </fill>
    </dxf>
    <dxf>
      <fill>
        <patternFill>
          <bgColor rgb="FFF0B50F"/>
        </patternFill>
      </fill>
    </dxf>
    <dxf>
      <fill>
        <patternFill>
          <bgColor rgb="FFEB8235"/>
        </patternFill>
      </fill>
    </dxf>
    <dxf>
      <fill>
        <patternFill>
          <bgColor rgb="FFD7221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44</xdr:row>
      <xdr:rowOff>85725</xdr:rowOff>
    </xdr:from>
    <xdr:to>
      <xdr:col>1</xdr:col>
      <xdr:colOff>3435218</xdr:colOff>
      <xdr:row>51</xdr:row>
      <xdr:rowOff>85725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7647007-D8D6-41F2-9819-503122784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7134225"/>
          <a:ext cx="3406643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.macron@elysee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9"/>
  <sheetViews>
    <sheetView zoomScaleNormal="100" workbookViewId="0">
      <selection activeCell="C22" sqref="C22"/>
    </sheetView>
  </sheetViews>
  <sheetFormatPr baseColWidth="10" defaultColWidth="9.140625" defaultRowHeight="15" x14ac:dyDescent="0.25"/>
  <cols>
    <col min="1" max="1" width="20.7109375" customWidth="1"/>
    <col min="2" max="2" width="52.42578125" style="8" bestFit="1" customWidth="1"/>
    <col min="3" max="3" width="3.42578125" customWidth="1"/>
    <col min="4" max="6" width="20.7109375" customWidth="1"/>
    <col min="7" max="8" width="4.42578125" customWidth="1"/>
    <col min="9" max="9" width="50.7109375" customWidth="1"/>
    <col min="10" max="10" width="25.7109375" customWidth="1"/>
    <col min="11" max="14" width="10.7109375" customWidth="1"/>
  </cols>
  <sheetData>
    <row r="2" spans="1:14" s="13" customFormat="1" ht="15.75" x14ac:dyDescent="0.25">
      <c r="A2" s="17" t="s">
        <v>0</v>
      </c>
      <c r="B2" s="18"/>
      <c r="D2" s="17" t="s">
        <v>56</v>
      </c>
      <c r="E2" s="18"/>
      <c r="F2" s="17"/>
      <c r="H2" s="17" t="s">
        <v>61</v>
      </c>
      <c r="I2" s="17"/>
      <c r="J2" s="17"/>
      <c r="K2" s="17"/>
      <c r="L2" s="17"/>
      <c r="M2" s="17"/>
      <c r="N2" s="17"/>
    </row>
    <row r="3" spans="1:14" ht="15.75" thickBot="1" x14ac:dyDescent="0.3">
      <c r="A3" s="1"/>
    </row>
    <row r="4" spans="1:14" ht="15" customHeight="1" x14ac:dyDescent="0.25">
      <c r="A4" s="4" t="s">
        <v>266</v>
      </c>
      <c r="B4" s="9"/>
      <c r="D4" s="2" t="s">
        <v>34</v>
      </c>
      <c r="E4" s="2"/>
      <c r="F4" s="3"/>
      <c r="H4" s="25" t="s">
        <v>69</v>
      </c>
      <c r="I4" s="25"/>
      <c r="J4" s="25"/>
      <c r="K4" s="78" t="s">
        <v>47</v>
      </c>
      <c r="L4" s="79"/>
      <c r="M4" s="80" t="s">
        <v>48</v>
      </c>
      <c r="N4" s="79"/>
    </row>
    <row r="5" spans="1:14" ht="15" customHeight="1" thickBot="1" x14ac:dyDescent="0.3">
      <c r="A5" t="s">
        <v>94</v>
      </c>
      <c r="B5" s="86">
        <f ca="1">NOW()</f>
        <v>45628.558847685184</v>
      </c>
      <c r="D5" t="s">
        <v>36</v>
      </c>
      <c r="F5" s="19">
        <v>46</v>
      </c>
      <c r="H5" s="26" t="s">
        <v>63</v>
      </c>
      <c r="I5" s="27" t="s">
        <v>62</v>
      </c>
      <c r="J5" s="27" t="s">
        <v>49</v>
      </c>
      <c r="K5" s="28" t="s">
        <v>50</v>
      </c>
      <c r="L5" s="29" t="s">
        <v>51</v>
      </c>
      <c r="M5" s="40" t="s">
        <v>50</v>
      </c>
      <c r="N5" s="29" t="s">
        <v>51</v>
      </c>
    </row>
    <row r="6" spans="1:14" ht="15" customHeight="1" x14ac:dyDescent="0.25">
      <c r="D6" t="s">
        <v>37</v>
      </c>
      <c r="F6" s="56" t="s">
        <v>3</v>
      </c>
      <c r="H6" s="14">
        <v>1</v>
      </c>
      <c r="I6" s="59" t="s">
        <v>52</v>
      </c>
      <c r="J6" s="59" t="s">
        <v>53</v>
      </c>
      <c r="K6" s="30">
        <v>16205.6</v>
      </c>
      <c r="L6" s="44">
        <v>17096.91</v>
      </c>
      <c r="M6" s="41">
        <v>16205.6</v>
      </c>
      <c r="N6" s="31">
        <v>17096.91</v>
      </c>
    </row>
    <row r="7" spans="1:14" ht="15" customHeight="1" x14ac:dyDescent="0.35">
      <c r="A7" s="4" t="s">
        <v>20</v>
      </c>
      <c r="B7" s="9"/>
      <c r="D7" t="s">
        <v>58</v>
      </c>
      <c r="F7" s="20">
        <v>539</v>
      </c>
      <c r="H7" s="15">
        <v>2</v>
      </c>
      <c r="I7" s="57" t="s">
        <v>54</v>
      </c>
      <c r="J7" s="57" t="s">
        <v>55</v>
      </c>
      <c r="K7" s="32">
        <v>8770.77</v>
      </c>
      <c r="L7" s="45">
        <v>9253.16</v>
      </c>
      <c r="M7" s="42">
        <v>8770.77</v>
      </c>
      <c r="N7" s="33">
        <v>9253.16</v>
      </c>
    </row>
    <row r="8" spans="1:14" ht="15" customHeight="1" x14ac:dyDescent="0.35">
      <c r="A8" s="1" t="s">
        <v>8</v>
      </c>
      <c r="B8" s="10" t="s">
        <v>21</v>
      </c>
      <c r="D8" t="s">
        <v>59</v>
      </c>
      <c r="F8" s="20">
        <v>293</v>
      </c>
      <c r="H8" s="15">
        <v>3</v>
      </c>
      <c r="I8" s="57"/>
      <c r="J8" s="57"/>
      <c r="K8" s="34"/>
      <c r="L8" s="35"/>
      <c r="M8" s="23"/>
      <c r="N8" s="35"/>
    </row>
    <row r="9" spans="1:14" ht="15" customHeight="1" x14ac:dyDescent="0.35">
      <c r="A9" s="1" t="s">
        <v>22</v>
      </c>
      <c r="B9" s="10" t="s">
        <v>23</v>
      </c>
      <c r="D9" t="s">
        <v>60</v>
      </c>
      <c r="F9" s="20">
        <v>18</v>
      </c>
      <c r="H9" s="15">
        <v>4</v>
      </c>
      <c r="I9" s="57"/>
      <c r="J9" s="57"/>
      <c r="K9" s="34"/>
      <c r="L9" s="35"/>
      <c r="M9" s="23"/>
      <c r="N9" s="35"/>
    </row>
    <row r="10" spans="1:14" ht="15" customHeight="1" x14ac:dyDescent="0.25">
      <c r="A10" s="1"/>
      <c r="H10" s="15">
        <v>5</v>
      </c>
      <c r="I10" s="57"/>
      <c r="J10" s="57"/>
      <c r="K10" s="34"/>
      <c r="L10" s="35"/>
      <c r="M10" s="23"/>
      <c r="N10" s="35"/>
    </row>
    <row r="11" spans="1:14" ht="15" customHeight="1" x14ac:dyDescent="0.25">
      <c r="A11" s="4" t="s">
        <v>6</v>
      </c>
      <c r="B11" s="9"/>
      <c r="D11" s="5" t="s">
        <v>35</v>
      </c>
      <c r="E11" s="5"/>
      <c r="F11" s="6"/>
      <c r="H11" s="15">
        <v>6</v>
      </c>
      <c r="I11" s="57"/>
      <c r="J11" s="57"/>
      <c r="K11" s="34"/>
      <c r="L11" s="35"/>
      <c r="M11" s="23"/>
      <c r="N11" s="35"/>
    </row>
    <row r="12" spans="1:14" ht="15" customHeight="1" thickBot="1" x14ac:dyDescent="0.3">
      <c r="A12" t="s">
        <v>1</v>
      </c>
      <c r="B12" s="10" t="s">
        <v>4</v>
      </c>
      <c r="H12" s="16">
        <v>7</v>
      </c>
      <c r="I12" s="58"/>
      <c r="J12" s="58"/>
      <c r="K12" s="36"/>
      <c r="L12" s="37"/>
      <c r="M12" s="24"/>
      <c r="N12" s="37"/>
    </row>
    <row r="13" spans="1:14" ht="15" customHeight="1" thickTop="1" thickBot="1" x14ac:dyDescent="0.3">
      <c r="A13" t="s">
        <v>2</v>
      </c>
      <c r="B13" s="10" t="s">
        <v>5</v>
      </c>
      <c r="D13" t="s">
        <v>270</v>
      </c>
      <c r="F13" s="61" t="s">
        <v>275</v>
      </c>
      <c r="H13" s="21"/>
      <c r="I13" s="21"/>
      <c r="J13" s="21"/>
      <c r="K13" s="38">
        <f>SUM(K5:K12)</f>
        <v>24976.370000000003</v>
      </c>
      <c r="L13" s="39">
        <f t="shared" ref="L13:N13" si="0">SUM(L5:L12)</f>
        <v>26350.07</v>
      </c>
      <c r="M13" s="43">
        <f t="shared" si="0"/>
        <v>24976.370000000003</v>
      </c>
      <c r="N13" s="39">
        <f t="shared" si="0"/>
        <v>26350.07</v>
      </c>
    </row>
    <row r="14" spans="1:14" ht="15" customHeight="1" x14ac:dyDescent="0.25">
      <c r="A14" t="s">
        <v>17</v>
      </c>
      <c r="B14" s="10" t="s">
        <v>277</v>
      </c>
      <c r="D14" t="s">
        <v>36</v>
      </c>
      <c r="F14" s="19">
        <v>46</v>
      </c>
    </row>
    <row r="15" spans="1:14" ht="15" customHeight="1" thickBot="1" x14ac:dyDescent="0.3">
      <c r="A15" t="s">
        <v>18</v>
      </c>
      <c r="B15" s="11" t="s">
        <v>19</v>
      </c>
      <c r="D15" t="s">
        <v>37</v>
      </c>
      <c r="F15" s="56" t="s">
        <v>269</v>
      </c>
    </row>
    <row r="16" spans="1:14" ht="15" customHeight="1" x14ac:dyDescent="0.35">
      <c r="D16" t="s">
        <v>58</v>
      </c>
      <c r="F16" s="20">
        <v>200</v>
      </c>
      <c r="H16" s="25" t="s">
        <v>279</v>
      </c>
      <c r="I16" s="25"/>
      <c r="J16" s="25"/>
      <c r="K16" s="25"/>
      <c r="L16" s="25"/>
      <c r="M16" s="25"/>
      <c r="N16" s="63"/>
    </row>
    <row r="17" spans="1:15" ht="15" customHeight="1" x14ac:dyDescent="0.35">
      <c r="A17" s="4" t="s">
        <v>10</v>
      </c>
      <c r="B17" s="9"/>
      <c r="D17" t="s">
        <v>59</v>
      </c>
      <c r="F17" s="20">
        <v>144</v>
      </c>
      <c r="H17" s="14">
        <v>1</v>
      </c>
      <c r="I17" s="14" t="s">
        <v>74</v>
      </c>
      <c r="J17" s="22"/>
      <c r="K17" s="22"/>
      <c r="L17" s="22"/>
      <c r="M17" s="22"/>
      <c r="N17" s="65">
        <f>K13</f>
        <v>24976.370000000003</v>
      </c>
      <c r="O17" t="s">
        <v>50</v>
      </c>
    </row>
    <row r="18" spans="1:15" ht="15" customHeight="1" thickBot="1" x14ac:dyDescent="0.4">
      <c r="A18" t="s">
        <v>8</v>
      </c>
      <c r="B18" s="10" t="s">
        <v>271</v>
      </c>
      <c r="D18" t="s">
        <v>60</v>
      </c>
      <c r="F18" s="20">
        <v>6</v>
      </c>
      <c r="H18" s="16">
        <v>2</v>
      </c>
      <c r="I18" s="16" t="s">
        <v>70</v>
      </c>
      <c r="J18" s="64"/>
      <c r="K18" s="64"/>
      <c r="L18" s="64"/>
      <c r="M18" s="64"/>
      <c r="N18" s="66">
        <v>2000</v>
      </c>
      <c r="O18" t="s">
        <v>50</v>
      </c>
    </row>
    <row r="19" spans="1:15" ht="15" customHeight="1" thickTop="1" x14ac:dyDescent="0.25">
      <c r="A19" t="s">
        <v>9</v>
      </c>
      <c r="B19" s="10" t="s">
        <v>272</v>
      </c>
      <c r="I19" s="72" t="s">
        <v>281</v>
      </c>
      <c r="J19" s="1"/>
      <c r="K19" s="1"/>
      <c r="L19" s="1"/>
      <c r="M19" s="1"/>
      <c r="N19" s="73">
        <f>SUM(N17:N18)</f>
        <v>26976.370000000003</v>
      </c>
      <c r="O19" s="1" t="s">
        <v>50</v>
      </c>
    </row>
    <row r="20" spans="1:15" ht="15" customHeight="1" thickBot="1" x14ac:dyDescent="0.3">
      <c r="A20" t="s">
        <v>15</v>
      </c>
      <c r="B20" s="10" t="s">
        <v>273</v>
      </c>
      <c r="D20" t="s">
        <v>57</v>
      </c>
      <c r="F20" s="55">
        <f>CODE(F6)-CODE(F15)</f>
        <v>3</v>
      </c>
      <c r="I20" s="72" t="s">
        <v>78</v>
      </c>
      <c r="J20" s="1"/>
      <c r="K20" s="1"/>
      <c r="L20" s="1"/>
      <c r="M20" s="1"/>
      <c r="N20" s="74">
        <f>L13+N18</f>
        <v>28350.07</v>
      </c>
      <c r="O20" s="1" t="s">
        <v>51</v>
      </c>
    </row>
    <row r="21" spans="1:15" ht="15" customHeight="1" thickBot="1" x14ac:dyDescent="0.3">
      <c r="A21" t="s">
        <v>16</v>
      </c>
      <c r="B21" s="10" t="s">
        <v>274</v>
      </c>
    </row>
    <row r="22" spans="1:15" ht="15" customHeight="1" x14ac:dyDescent="0.25">
      <c r="A22" t="s">
        <v>11</v>
      </c>
      <c r="B22" s="10"/>
      <c r="H22" s="25" t="s">
        <v>280</v>
      </c>
      <c r="I22" s="25"/>
      <c r="J22" s="25"/>
      <c r="K22" s="25"/>
      <c r="L22" s="25"/>
      <c r="M22" s="25"/>
      <c r="N22" s="67"/>
    </row>
    <row r="23" spans="1:15" ht="15" customHeight="1" x14ac:dyDescent="0.25">
      <c r="A23" t="s">
        <v>12</v>
      </c>
      <c r="B23" s="10"/>
      <c r="H23" s="14">
        <v>6</v>
      </c>
      <c r="I23" s="14" t="s">
        <v>79</v>
      </c>
      <c r="J23" s="22"/>
      <c r="K23" s="22"/>
      <c r="L23" s="22"/>
      <c r="M23" s="22"/>
      <c r="N23" s="65">
        <v>0</v>
      </c>
    </row>
    <row r="24" spans="1:15" ht="15" customHeight="1" thickBot="1" x14ac:dyDescent="0.3">
      <c r="A24" t="s">
        <v>13</v>
      </c>
      <c r="B24" s="10"/>
      <c r="H24" s="15">
        <v>7</v>
      </c>
      <c r="I24" s="15" t="s">
        <v>278</v>
      </c>
      <c r="J24" s="54"/>
      <c r="K24" s="54"/>
      <c r="L24" s="54"/>
      <c r="M24" s="54"/>
      <c r="N24" s="68">
        <f>N20-N23-N32-N34</f>
        <v>10866.611000000001</v>
      </c>
    </row>
    <row r="25" spans="1:15" ht="15" customHeight="1" thickBot="1" x14ac:dyDescent="0.3">
      <c r="A25" t="s">
        <v>14</v>
      </c>
      <c r="B25" s="10"/>
      <c r="N25" s="62"/>
    </row>
    <row r="26" spans="1:15" ht="15" customHeight="1" x14ac:dyDescent="0.25">
      <c r="H26" s="14">
        <v>8</v>
      </c>
      <c r="I26" s="14" t="s">
        <v>64</v>
      </c>
      <c r="J26" s="22"/>
      <c r="K26" s="22"/>
      <c r="L26" s="22"/>
      <c r="M26" s="22"/>
      <c r="N26" s="69">
        <v>17483.458999999999</v>
      </c>
    </row>
    <row r="27" spans="1:15" ht="15" customHeight="1" x14ac:dyDescent="0.25">
      <c r="A27" s="17" t="s">
        <v>24</v>
      </c>
      <c r="B27" s="7"/>
      <c r="H27" s="15">
        <v>10</v>
      </c>
      <c r="I27" s="15" t="s">
        <v>65</v>
      </c>
      <c r="J27" s="54"/>
      <c r="K27" s="54"/>
      <c r="L27" s="54"/>
      <c r="M27" s="54"/>
      <c r="N27" s="70">
        <v>0</v>
      </c>
    </row>
    <row r="28" spans="1:15" ht="15" customHeight="1" x14ac:dyDescent="0.25">
      <c r="H28" s="15">
        <v>11</v>
      </c>
      <c r="I28" s="15" t="s">
        <v>67</v>
      </c>
      <c r="J28" s="54"/>
      <c r="K28" s="54"/>
      <c r="L28" s="54"/>
      <c r="M28" s="54"/>
      <c r="N28" s="70">
        <v>0</v>
      </c>
    </row>
    <row r="29" spans="1:15" ht="15" customHeight="1" x14ac:dyDescent="0.25">
      <c r="A29" s="4" t="s">
        <v>25</v>
      </c>
      <c r="B29" s="9"/>
      <c r="H29" s="15">
        <v>12</v>
      </c>
      <c r="I29" s="15" t="s">
        <v>66</v>
      </c>
      <c r="J29" s="54"/>
      <c r="K29" s="54"/>
      <c r="L29" s="54"/>
      <c r="M29" s="54"/>
      <c r="N29" s="70">
        <v>0</v>
      </c>
    </row>
    <row r="30" spans="1:15" ht="15" customHeight="1" thickBot="1" x14ac:dyDescent="0.3">
      <c r="H30" s="16">
        <v>13</v>
      </c>
      <c r="I30" s="16" t="s">
        <v>68</v>
      </c>
      <c r="J30" s="64"/>
      <c r="K30" s="64"/>
      <c r="L30" s="64"/>
      <c r="M30" s="64"/>
      <c r="N30" s="66">
        <v>0</v>
      </c>
    </row>
    <row r="31" spans="1:15" ht="15" customHeight="1" thickTop="1" x14ac:dyDescent="0.25">
      <c r="A31" t="s">
        <v>27</v>
      </c>
      <c r="B31" s="10" t="s">
        <v>39</v>
      </c>
      <c r="I31" s="72" t="s">
        <v>282</v>
      </c>
      <c r="J31" s="1"/>
      <c r="K31" s="1"/>
      <c r="L31" s="1"/>
      <c r="M31" s="1"/>
      <c r="N31" s="77">
        <f>N26+N27</f>
        <v>17483.458999999999</v>
      </c>
    </row>
    <row r="32" spans="1:15" ht="15" customHeight="1" thickBot="1" x14ac:dyDescent="0.3">
      <c r="A32" t="s">
        <v>26</v>
      </c>
      <c r="B32" s="12" t="s">
        <v>40</v>
      </c>
      <c r="I32" s="72" t="s">
        <v>90</v>
      </c>
      <c r="J32" s="1"/>
      <c r="K32" s="1"/>
      <c r="L32" s="1"/>
      <c r="M32" s="1"/>
      <c r="N32" s="75">
        <f>SUM(N26:N30)</f>
        <v>17483.458999999999</v>
      </c>
    </row>
    <row r="33" spans="1:15" ht="15" customHeight="1" thickBot="1" x14ac:dyDescent="0.3">
      <c r="A33" t="s">
        <v>28</v>
      </c>
      <c r="B33" s="10" t="s">
        <v>41</v>
      </c>
      <c r="N33" s="62"/>
    </row>
    <row r="34" spans="1:15" ht="15" customHeight="1" thickBot="1" x14ac:dyDescent="0.3">
      <c r="A34" t="s">
        <v>29</v>
      </c>
      <c r="B34" s="10" t="s">
        <v>42</v>
      </c>
      <c r="H34" s="15">
        <v>18</v>
      </c>
      <c r="I34" s="15" t="s">
        <v>91</v>
      </c>
      <c r="J34" s="54"/>
      <c r="K34" s="54"/>
      <c r="L34" s="54"/>
      <c r="M34" s="54"/>
      <c r="N34" s="71">
        <v>0</v>
      </c>
    </row>
    <row r="35" spans="1:15" ht="15" customHeight="1" thickBot="1" x14ac:dyDescent="0.3"/>
    <row r="36" spans="1:15" ht="15" customHeight="1" thickBot="1" x14ac:dyDescent="0.3">
      <c r="A36" s="4" t="s">
        <v>32</v>
      </c>
      <c r="B36" s="9"/>
      <c r="I36" s="72" t="s">
        <v>92</v>
      </c>
      <c r="J36" s="1"/>
      <c r="K36" s="1"/>
      <c r="L36" s="1"/>
      <c r="M36" s="1"/>
      <c r="N36" s="76">
        <f>SUM(N23:N24,N32,N34)</f>
        <v>28350.07</v>
      </c>
      <c r="O36" s="1" t="s">
        <v>51</v>
      </c>
    </row>
    <row r="37" spans="1:15" ht="15" customHeight="1" x14ac:dyDescent="0.25"/>
    <row r="38" spans="1:15" ht="15" customHeight="1" x14ac:dyDescent="0.25">
      <c r="A38" t="s">
        <v>33</v>
      </c>
      <c r="B38" s="12">
        <v>45284</v>
      </c>
    </row>
    <row r="39" spans="1:15" ht="15" customHeight="1" x14ac:dyDescent="0.25">
      <c r="A39" t="s">
        <v>46</v>
      </c>
      <c r="B39" s="12" t="s">
        <v>44</v>
      </c>
    </row>
    <row r="40" spans="1:15" ht="15" customHeight="1" x14ac:dyDescent="0.25">
      <c r="A40" t="s">
        <v>45</v>
      </c>
      <c r="B40" s="12" t="s">
        <v>43</v>
      </c>
    </row>
    <row r="41" spans="1:15" ht="15" customHeight="1" x14ac:dyDescent="0.25">
      <c r="A41" t="s">
        <v>30</v>
      </c>
      <c r="B41" s="10" t="s">
        <v>41</v>
      </c>
    </row>
    <row r="42" spans="1:15" ht="15" customHeight="1" x14ac:dyDescent="0.25">
      <c r="A42" t="s">
        <v>31</v>
      </c>
      <c r="B42" s="10" t="s">
        <v>42</v>
      </c>
    </row>
    <row r="43" spans="1:15" ht="15" customHeight="1" x14ac:dyDescent="0.25">
      <c r="A43" t="s">
        <v>16</v>
      </c>
      <c r="B43" s="10" t="s">
        <v>261</v>
      </c>
    </row>
    <row r="44" spans="1:15" ht="15" customHeight="1" x14ac:dyDescent="0.25"/>
    <row r="45" spans="1:15" ht="15" customHeight="1" x14ac:dyDescent="0.25">
      <c r="A45" t="s">
        <v>38</v>
      </c>
    </row>
    <row r="46" spans="1:15" ht="15" customHeight="1" x14ac:dyDescent="0.25"/>
    <row r="47" spans="1:15" ht="15" customHeight="1" x14ac:dyDescent="0.25"/>
    <row r="48" spans="1:15" ht="15" customHeight="1" x14ac:dyDescent="0.25"/>
    <row r="49" ht="15" customHeight="1" x14ac:dyDescent="0.25"/>
  </sheetData>
  <mergeCells count="2">
    <mergeCell ref="K4:L4"/>
    <mergeCell ref="M4:N4"/>
  </mergeCells>
  <conditionalFormatting sqref="F6">
    <cfRule type="cellIs" dxfId="13" priority="15" operator="equal">
      <formula>"G"</formula>
    </cfRule>
    <cfRule type="cellIs" dxfId="12" priority="16" operator="equal">
      <formula>"F"</formula>
    </cfRule>
    <cfRule type="cellIs" dxfId="11" priority="17" operator="equal">
      <formula>"E"</formula>
    </cfRule>
    <cfRule type="cellIs" dxfId="10" priority="18" operator="equal">
      <formula>"D"</formula>
    </cfRule>
    <cfRule type="cellIs" dxfId="9" priority="19" operator="equal">
      <formula>"C"</formula>
    </cfRule>
    <cfRule type="cellIs" dxfId="8" priority="20" operator="equal">
      <formula>"B"</formula>
    </cfRule>
    <cfRule type="cellIs" dxfId="7" priority="21" operator="equal">
      <formula>"A"</formula>
    </cfRule>
  </conditionalFormatting>
  <conditionalFormatting sqref="F15">
    <cfRule type="cellIs" dxfId="6" priority="1" operator="equal">
      <formula>"G"</formula>
    </cfRule>
    <cfRule type="cellIs" dxfId="5" priority="2" operator="equal">
      <formula>"F"</formula>
    </cfRule>
    <cfRule type="cellIs" dxfId="4" priority="3" operator="equal">
      <formula>"E"</formula>
    </cfRule>
    <cfRule type="cellIs" dxfId="3" priority="4" operator="equal">
      <formula>"D"</formula>
    </cfRule>
    <cfRule type="cellIs" dxfId="2" priority="5" operator="equal">
      <formula>"C"</formula>
    </cfRule>
    <cfRule type="cellIs" dxfId="1" priority="6" operator="equal">
      <formula>"B"</formula>
    </cfRule>
    <cfRule type="cellIs" dxfId="0" priority="7" operator="equal">
      <formula>"A"</formula>
    </cfRule>
  </conditionalFormatting>
  <dataValidations disablePrompts="1" count="2">
    <dataValidation type="list" allowBlank="1" showInputMessage="1" showErrorMessage="1" sqref="B9" xr:uid="{067EF522-24ED-47C1-BA1D-3E1C994AC258}">
      <formula1>"PO,PB"</formula1>
    </dataValidation>
    <dataValidation type="list" allowBlank="1" showInputMessage="1" showErrorMessage="1" sqref="F6 F15" xr:uid="{A9289B9E-8A2C-449C-9815-5D3EAE160AB6}">
      <formula1>"A,B,C,D,E,F,G"</formula1>
    </dataValidation>
  </dataValidations>
  <hyperlinks>
    <hyperlink ref="B15" r:id="rId1" xr:uid="{4FCDDE4B-3516-4383-AE77-CF6F20C8BEE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5FA7-A978-47CE-94D4-C4BB5279D8D1}">
  <dimension ref="A1:J42"/>
  <sheetViews>
    <sheetView topLeftCell="A7" workbookViewId="0">
      <selection activeCell="E40" sqref="E40"/>
    </sheetView>
  </sheetViews>
  <sheetFormatPr baseColWidth="10" defaultRowHeight="15" x14ac:dyDescent="0.25"/>
  <cols>
    <col min="1" max="1" width="62.140625" bestFit="1" customWidth="1"/>
    <col min="2" max="2" width="40.7109375" style="51" customWidth="1"/>
    <col min="3" max="3" width="19.140625" style="90" bestFit="1" customWidth="1"/>
    <col min="5" max="5" width="15.42578125" style="60" bestFit="1" customWidth="1"/>
    <col min="7" max="7" width="16.85546875" customWidth="1"/>
  </cols>
  <sheetData>
    <row r="1" spans="1:7" ht="15.75" x14ac:dyDescent="0.25">
      <c r="A1" s="83" t="s">
        <v>286</v>
      </c>
      <c r="B1" s="85" t="s">
        <v>262</v>
      </c>
      <c r="C1" s="85"/>
    </row>
    <row r="2" spans="1:7" ht="15.75" x14ac:dyDescent="0.25">
      <c r="A2" s="83" t="s">
        <v>287</v>
      </c>
      <c r="B2" s="85" t="str">
        <f>UPPER(Settings!B12)&amp;"_PLAN_FINANCEMENT_pre.pdf"</f>
        <v>COULLET_PLAN_FINANCEMENT_pre.pdf</v>
      </c>
      <c r="C2" s="85"/>
    </row>
    <row r="3" spans="1:7" ht="15.75" x14ac:dyDescent="0.25">
      <c r="A3" s="17" t="s">
        <v>283</v>
      </c>
      <c r="B3" s="84" t="s">
        <v>284</v>
      </c>
      <c r="C3" s="102" t="s">
        <v>285</v>
      </c>
    </row>
    <row r="4" spans="1:7" x14ac:dyDescent="0.25">
      <c r="A4" s="81" t="s">
        <v>98</v>
      </c>
      <c r="B4" s="81"/>
      <c r="C4" s="81"/>
    </row>
    <row r="5" spans="1:7" x14ac:dyDescent="0.25">
      <c r="A5" t="s">
        <v>1</v>
      </c>
      <c r="B5" s="51" t="s">
        <v>226</v>
      </c>
      <c r="C5" s="103" t="str">
        <f>Settings!B12</f>
        <v>Coullet</v>
      </c>
    </row>
    <row r="6" spans="1:7" x14ac:dyDescent="0.25">
      <c r="A6" t="s">
        <v>2</v>
      </c>
      <c r="B6" s="51" t="s">
        <v>227</v>
      </c>
      <c r="C6" s="103" t="str">
        <f>Settings!B13</f>
        <v>Julien</v>
      </c>
    </row>
    <row r="7" spans="1:7" x14ac:dyDescent="0.25">
      <c r="A7" t="s">
        <v>7</v>
      </c>
      <c r="B7" s="51" t="s">
        <v>228</v>
      </c>
      <c r="C7" s="90" t="str">
        <f>_xlfn.CONCAT(Settings!B18," ",Settings!B19,)</f>
        <v>147 rue des Liotards</v>
      </c>
    </row>
    <row r="8" spans="1:7" x14ac:dyDescent="0.25">
      <c r="A8" t="s">
        <v>71</v>
      </c>
      <c r="B8" s="51" t="s">
        <v>229</v>
      </c>
      <c r="C8" s="110" t="str">
        <f>IF(Settings!B22="","",Settings!B22)</f>
        <v/>
      </c>
    </row>
    <row r="9" spans="1:7" x14ac:dyDescent="0.25">
      <c r="A9" t="s">
        <v>12</v>
      </c>
      <c r="B9" s="51" t="s">
        <v>230</v>
      </c>
      <c r="C9" s="110" t="str">
        <f>IF(Settings!B23="","",Settings!B23)</f>
        <v/>
      </c>
    </row>
    <row r="10" spans="1:7" x14ac:dyDescent="0.25">
      <c r="A10" t="s">
        <v>13</v>
      </c>
      <c r="B10" s="51" t="s">
        <v>231</v>
      </c>
      <c r="C10" s="110" t="str">
        <f>IF(Settings!B24="","",Settings!B24)</f>
        <v/>
      </c>
    </row>
    <row r="11" spans="1:7" x14ac:dyDescent="0.25">
      <c r="A11" t="s">
        <v>14</v>
      </c>
      <c r="B11" s="51" t="s">
        <v>232</v>
      </c>
      <c r="C11" s="110" t="str">
        <f>IF(Settings!B25="","",Settings!B25)</f>
        <v/>
      </c>
    </row>
    <row r="12" spans="1:7" x14ac:dyDescent="0.25">
      <c r="A12" t="s">
        <v>15</v>
      </c>
      <c r="B12" s="51" t="s">
        <v>233</v>
      </c>
      <c r="C12" s="103" t="str">
        <f>Settings!B20</f>
        <v>26150</v>
      </c>
    </row>
    <row r="13" spans="1:7" x14ac:dyDescent="0.25">
      <c r="A13" t="s">
        <v>16</v>
      </c>
      <c r="B13" s="51" t="s">
        <v>234</v>
      </c>
      <c r="C13" s="103" t="str">
        <f>Settings!B21</f>
        <v>Romeyer</v>
      </c>
    </row>
    <row r="14" spans="1:7" x14ac:dyDescent="0.25">
      <c r="A14" t="s">
        <v>72</v>
      </c>
      <c r="B14" s="51" t="s">
        <v>235</v>
      </c>
      <c r="C14" s="103" t="str">
        <f>Settings!B14</f>
        <v>0683383244</v>
      </c>
    </row>
    <row r="15" spans="1:7" x14ac:dyDescent="0.25">
      <c r="A15" t="s">
        <v>73</v>
      </c>
      <c r="B15" s="51" t="s">
        <v>236</v>
      </c>
      <c r="C15" s="103" t="str">
        <f>Settings!B15</f>
        <v>e.macron@elysee.fr</v>
      </c>
    </row>
    <row r="16" spans="1:7" x14ac:dyDescent="0.25">
      <c r="A16" s="81" t="s">
        <v>99</v>
      </c>
      <c r="B16" s="81"/>
      <c r="C16" s="81"/>
      <c r="E16" s="60" t="s">
        <v>288</v>
      </c>
      <c r="F16" t="s">
        <v>289</v>
      </c>
      <c r="G16" s="90" t="s">
        <v>290</v>
      </c>
    </row>
    <row r="17" spans="1:10" x14ac:dyDescent="0.25">
      <c r="A17" t="s">
        <v>74</v>
      </c>
      <c r="B17" s="51" t="s">
        <v>237</v>
      </c>
      <c r="C17" s="94" t="str">
        <f>G17</f>
        <v>24976</v>
      </c>
      <c r="D17" t="s">
        <v>50</v>
      </c>
      <c r="E17" s="100">
        <f>Settings!N17</f>
        <v>24976.370000000003</v>
      </c>
      <c r="F17" s="97" t="str">
        <f>TEXT(E17,"#0")</f>
        <v>24976</v>
      </c>
      <c r="G17" s="97" t="str">
        <f>REPT(" ",5-LEN(F17))&amp;F17</f>
        <v>24976</v>
      </c>
    </row>
    <row r="18" spans="1:10" x14ac:dyDescent="0.25">
      <c r="A18" t="s">
        <v>75</v>
      </c>
      <c r="B18" s="51" t="s">
        <v>238</v>
      </c>
      <c r="C18" s="92" t="str">
        <f t="shared" ref="C18:C35" si="0">G18</f>
        <v xml:space="preserve"> 2000</v>
      </c>
      <c r="D18" t="s">
        <v>50</v>
      </c>
      <c r="E18" s="100">
        <f>Settings!N18</f>
        <v>2000</v>
      </c>
      <c r="F18" s="97" t="str">
        <f t="shared" ref="F18:F35" si="1">TEXT(E18,"#0")</f>
        <v>2000</v>
      </c>
      <c r="G18" s="97" t="str">
        <f t="shared" ref="G18:G35" si="2">REPT(" ",5-LEN(F18))&amp;F18</f>
        <v xml:space="preserve"> 2000</v>
      </c>
    </row>
    <row r="19" spans="1:10" x14ac:dyDescent="0.25">
      <c r="A19" s="22" t="s">
        <v>76</v>
      </c>
      <c r="B19" s="52" t="s">
        <v>239</v>
      </c>
      <c r="C19" s="98" t="str">
        <f t="shared" si="0"/>
        <v xml:space="preserve">    0</v>
      </c>
      <c r="D19" t="s">
        <v>50</v>
      </c>
      <c r="E19" s="100">
        <v>0</v>
      </c>
      <c r="F19" s="97" t="str">
        <f t="shared" si="1"/>
        <v>0</v>
      </c>
      <c r="G19" s="97" t="str">
        <f t="shared" si="2"/>
        <v xml:space="preserve">    0</v>
      </c>
    </row>
    <row r="20" spans="1:10" ht="15.75" x14ac:dyDescent="0.3">
      <c r="A20" s="1" t="s">
        <v>77</v>
      </c>
      <c r="B20" s="53" t="s">
        <v>240</v>
      </c>
      <c r="C20" s="99" t="str">
        <f t="shared" si="0"/>
        <v>26976</v>
      </c>
      <c r="D20" s="1" t="s">
        <v>50</v>
      </c>
      <c r="E20" s="100">
        <f>Settings!N19</f>
        <v>26976.370000000003</v>
      </c>
      <c r="F20" s="97" t="str">
        <f t="shared" si="1"/>
        <v>26976</v>
      </c>
      <c r="G20" s="97" t="str">
        <f t="shared" si="2"/>
        <v>26976</v>
      </c>
      <c r="J20" s="91"/>
    </row>
    <row r="21" spans="1:10" ht="15.75" x14ac:dyDescent="0.3">
      <c r="A21" s="1" t="s">
        <v>78</v>
      </c>
      <c r="B21" s="53" t="s">
        <v>241</v>
      </c>
      <c r="C21" s="99" t="str">
        <f t="shared" si="0"/>
        <v>28350</v>
      </c>
      <c r="D21" s="1" t="s">
        <v>51</v>
      </c>
      <c r="E21" s="100">
        <f>Settings!N20</f>
        <v>28350.07</v>
      </c>
      <c r="F21" s="97" t="str">
        <f t="shared" si="1"/>
        <v>28350</v>
      </c>
      <c r="G21" s="97" t="str">
        <f t="shared" si="2"/>
        <v>28350</v>
      </c>
      <c r="J21" s="91"/>
    </row>
    <row r="22" spans="1:10" x14ac:dyDescent="0.25">
      <c r="A22" t="s">
        <v>79</v>
      </c>
      <c r="B22" s="51" t="s">
        <v>242</v>
      </c>
      <c r="C22" s="92" t="str">
        <f t="shared" si="0"/>
        <v xml:space="preserve">    0</v>
      </c>
      <c r="E22" s="100">
        <f>Settings!N23</f>
        <v>0</v>
      </c>
      <c r="F22" s="97" t="str">
        <f t="shared" si="1"/>
        <v>0</v>
      </c>
      <c r="G22" s="97" t="str">
        <f t="shared" si="2"/>
        <v xml:space="preserve">    0</v>
      </c>
      <c r="J22" s="91"/>
    </row>
    <row r="23" spans="1:10" x14ac:dyDescent="0.25">
      <c r="A23" t="s">
        <v>80</v>
      </c>
      <c r="B23" s="51" t="s">
        <v>243</v>
      </c>
      <c r="C23" s="92" t="str">
        <f t="shared" si="0"/>
        <v>10867</v>
      </c>
      <c r="E23" s="100">
        <f>Settings!N24</f>
        <v>10866.611000000001</v>
      </c>
      <c r="F23" s="97" t="str">
        <f t="shared" si="1"/>
        <v>10867</v>
      </c>
      <c r="G23" s="97" t="str">
        <f t="shared" si="2"/>
        <v>10867</v>
      </c>
      <c r="J23" s="91"/>
    </row>
    <row r="24" spans="1:10" x14ac:dyDescent="0.25">
      <c r="A24" t="s">
        <v>81</v>
      </c>
      <c r="B24" s="51" t="s">
        <v>244</v>
      </c>
      <c r="C24" s="92" t="str">
        <f t="shared" si="0"/>
        <v>17483</v>
      </c>
      <c r="E24" s="100">
        <f>Settings!N31</f>
        <v>17483.458999999999</v>
      </c>
      <c r="F24" s="97" t="str">
        <f t="shared" si="1"/>
        <v>17483</v>
      </c>
      <c r="G24" s="97" t="str">
        <f t="shared" si="2"/>
        <v>17483</v>
      </c>
      <c r="J24" s="91"/>
    </row>
    <row r="25" spans="1:10" x14ac:dyDescent="0.25">
      <c r="A25" t="s">
        <v>82</v>
      </c>
      <c r="B25" s="51" t="s">
        <v>245</v>
      </c>
      <c r="C25" s="92" t="str">
        <f t="shared" si="0"/>
        <v xml:space="preserve">    0</v>
      </c>
      <c r="E25" s="100"/>
      <c r="F25" s="97" t="str">
        <f t="shared" si="1"/>
        <v>0</v>
      </c>
      <c r="G25" s="97" t="str">
        <f t="shared" si="2"/>
        <v xml:space="preserve">    0</v>
      </c>
    </row>
    <row r="26" spans="1:10" x14ac:dyDescent="0.25">
      <c r="A26" t="s">
        <v>83</v>
      </c>
      <c r="B26" s="51" t="s">
        <v>246</v>
      </c>
      <c r="C26" s="92" t="str">
        <f t="shared" si="0"/>
        <v xml:space="preserve">    0</v>
      </c>
      <c r="E26" s="100">
        <f>Settings!N28</f>
        <v>0</v>
      </c>
      <c r="F26" s="97" t="str">
        <f t="shared" si="1"/>
        <v>0</v>
      </c>
      <c r="G26" s="97" t="str">
        <f t="shared" si="2"/>
        <v xml:space="preserve">    0</v>
      </c>
    </row>
    <row r="27" spans="1:10" x14ac:dyDescent="0.25">
      <c r="A27" t="s">
        <v>84</v>
      </c>
      <c r="B27" s="51" t="s">
        <v>247</v>
      </c>
      <c r="C27" s="92" t="str">
        <f t="shared" si="0"/>
        <v xml:space="preserve">    0</v>
      </c>
      <c r="E27" s="100">
        <f>Settings!N29</f>
        <v>0</v>
      </c>
      <c r="F27" s="97" t="str">
        <f t="shared" si="1"/>
        <v>0</v>
      </c>
      <c r="G27" s="97" t="str">
        <f t="shared" si="2"/>
        <v xml:space="preserve">    0</v>
      </c>
    </row>
    <row r="28" spans="1:10" x14ac:dyDescent="0.25">
      <c r="A28" t="s">
        <v>85</v>
      </c>
      <c r="B28" s="51" t="s">
        <v>248</v>
      </c>
      <c r="C28" s="92" t="str">
        <f t="shared" si="0"/>
        <v xml:space="preserve">    0</v>
      </c>
      <c r="E28" s="100">
        <f>Settings!N30</f>
        <v>0</v>
      </c>
      <c r="F28" s="97" t="str">
        <f t="shared" si="1"/>
        <v>0</v>
      </c>
      <c r="G28" s="97" t="str">
        <f t="shared" si="2"/>
        <v xml:space="preserve">    0</v>
      </c>
    </row>
    <row r="29" spans="1:10" x14ac:dyDescent="0.25">
      <c r="A29" t="s">
        <v>86</v>
      </c>
      <c r="B29" s="51" t="s">
        <v>249</v>
      </c>
      <c r="C29" s="92" t="str">
        <f t="shared" si="0"/>
        <v xml:space="preserve">    0</v>
      </c>
      <c r="E29" s="100"/>
      <c r="F29" s="97" t="str">
        <f t="shared" si="1"/>
        <v>0</v>
      </c>
      <c r="G29" s="97" t="str">
        <f t="shared" si="2"/>
        <v xml:space="preserve">    0</v>
      </c>
    </row>
    <row r="30" spans="1:10" x14ac:dyDescent="0.25">
      <c r="A30" t="s">
        <v>87</v>
      </c>
      <c r="B30" s="51" t="s">
        <v>250</v>
      </c>
      <c r="C30" s="92" t="str">
        <f t="shared" si="0"/>
        <v xml:space="preserve">    0</v>
      </c>
      <c r="E30" s="100"/>
      <c r="F30" s="97" t="str">
        <f t="shared" si="1"/>
        <v>0</v>
      </c>
      <c r="G30" s="97" t="str">
        <f t="shared" si="2"/>
        <v xml:space="preserve">    0</v>
      </c>
    </row>
    <row r="31" spans="1:10" x14ac:dyDescent="0.25">
      <c r="A31" t="s">
        <v>88</v>
      </c>
      <c r="B31" s="51" t="s">
        <v>251</v>
      </c>
      <c r="C31" s="92" t="str">
        <f t="shared" si="0"/>
        <v xml:space="preserve">    0</v>
      </c>
      <c r="E31" s="100"/>
      <c r="F31" s="97" t="str">
        <f t="shared" si="1"/>
        <v>0</v>
      </c>
      <c r="G31" s="97" t="str">
        <f t="shared" si="2"/>
        <v xml:space="preserve">    0</v>
      </c>
    </row>
    <row r="32" spans="1:10" x14ac:dyDescent="0.25">
      <c r="A32" s="22" t="s">
        <v>89</v>
      </c>
      <c r="B32" s="52" t="s">
        <v>252</v>
      </c>
      <c r="C32" s="98" t="str">
        <f t="shared" si="0"/>
        <v xml:space="preserve">    0</v>
      </c>
      <c r="E32" s="100"/>
      <c r="F32" s="97" t="str">
        <f t="shared" si="1"/>
        <v>0</v>
      </c>
      <c r="G32" s="97" t="str">
        <f t="shared" si="2"/>
        <v xml:space="preserve">    0</v>
      </c>
    </row>
    <row r="33" spans="1:7" ht="15.75" x14ac:dyDescent="0.3">
      <c r="A33" s="1" t="s">
        <v>90</v>
      </c>
      <c r="B33" s="53" t="s">
        <v>253</v>
      </c>
      <c r="C33" s="99" t="str">
        <f t="shared" si="0"/>
        <v>17483</v>
      </c>
      <c r="E33" s="100">
        <f>Settings!N32</f>
        <v>17483.458999999999</v>
      </c>
      <c r="F33" s="97" t="str">
        <f t="shared" si="1"/>
        <v>17483</v>
      </c>
      <c r="G33" s="97" t="str">
        <f t="shared" si="2"/>
        <v>17483</v>
      </c>
    </row>
    <row r="34" spans="1:7" x14ac:dyDescent="0.25">
      <c r="A34" t="s">
        <v>91</v>
      </c>
      <c r="B34" s="51" t="s">
        <v>254</v>
      </c>
      <c r="C34" s="92" t="str">
        <f t="shared" si="0"/>
        <v xml:space="preserve">    0</v>
      </c>
      <c r="E34" s="100">
        <f>Settings!N34</f>
        <v>0</v>
      </c>
      <c r="F34" s="97" t="str">
        <f t="shared" si="1"/>
        <v>0</v>
      </c>
      <c r="G34" s="97" t="str">
        <f t="shared" si="2"/>
        <v xml:space="preserve">    0</v>
      </c>
    </row>
    <row r="35" spans="1:7" ht="15.75" x14ac:dyDescent="0.3">
      <c r="A35" s="1" t="s">
        <v>92</v>
      </c>
      <c r="B35" s="53" t="s">
        <v>255</v>
      </c>
      <c r="C35" s="99" t="str">
        <f t="shared" si="0"/>
        <v>28350</v>
      </c>
      <c r="E35" s="100">
        <f>Settings!N36</f>
        <v>28350.07</v>
      </c>
      <c r="F35" s="97" t="str">
        <f t="shared" si="1"/>
        <v>28350</v>
      </c>
      <c r="G35" s="97" t="str">
        <f t="shared" si="2"/>
        <v>28350</v>
      </c>
    </row>
    <row r="36" spans="1:7" x14ac:dyDescent="0.25">
      <c r="A36" s="81" t="s">
        <v>100</v>
      </c>
      <c r="B36" s="81"/>
      <c r="C36" s="81"/>
      <c r="E36" s="95"/>
      <c r="F36" s="96"/>
      <c r="G36" s="96"/>
    </row>
    <row r="37" spans="1:7" x14ac:dyDescent="0.25">
      <c r="A37" t="s">
        <v>95</v>
      </c>
      <c r="B37" s="51" t="s">
        <v>196</v>
      </c>
      <c r="C37" s="90" t="str">
        <f>_xlfn.CONCAT(UPPER(Settings!B12),", ",Settings!B13)</f>
        <v>COULLET, Julien</v>
      </c>
    </row>
    <row r="38" spans="1:7" x14ac:dyDescent="0.25">
      <c r="A38" t="s">
        <v>93</v>
      </c>
      <c r="B38" s="51" t="s">
        <v>192</v>
      </c>
      <c r="C38" s="103" t="str">
        <f>'Plan de financement'!C13</f>
        <v>Romeyer</v>
      </c>
    </row>
    <row r="39" spans="1:7" x14ac:dyDescent="0.25">
      <c r="A39" t="s">
        <v>209</v>
      </c>
      <c r="B39" s="51" t="s">
        <v>193</v>
      </c>
      <c r="C39" s="109" t="str">
        <f ca="1">TEXT(DAY(Settings!B5),"00")</f>
        <v>02</v>
      </c>
    </row>
    <row r="40" spans="1:7" x14ac:dyDescent="0.25">
      <c r="A40" t="s">
        <v>210</v>
      </c>
      <c r="B40" s="51" t="s">
        <v>194</v>
      </c>
      <c r="C40" s="109" t="str">
        <f ca="1">TEXT(MONTH(Settings!B5),"00")</f>
        <v>12</v>
      </c>
    </row>
    <row r="41" spans="1:7" x14ac:dyDescent="0.25">
      <c r="A41" t="s">
        <v>211</v>
      </c>
      <c r="B41" s="51" t="s">
        <v>195</v>
      </c>
      <c r="C41" s="90" t="str">
        <f ca="1">TEXT(YEAR(Settings!B5),"0000")</f>
        <v>2024</v>
      </c>
    </row>
    <row r="42" spans="1:7" x14ac:dyDescent="0.25">
      <c r="A42" t="s">
        <v>256</v>
      </c>
      <c r="B42" s="51" t="s">
        <v>197</v>
      </c>
    </row>
  </sheetData>
  <mergeCells count="5">
    <mergeCell ref="B1:C1"/>
    <mergeCell ref="B2:C2"/>
    <mergeCell ref="A4:C4"/>
    <mergeCell ref="A16:C16"/>
    <mergeCell ref="A36:C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9750-D8BA-4434-85C8-20F5FD31963C}">
  <dimension ref="A1:C12"/>
  <sheetViews>
    <sheetView tabSelected="1" workbookViewId="0">
      <selection activeCell="B21" sqref="B21"/>
    </sheetView>
  </sheetViews>
  <sheetFormatPr baseColWidth="10" defaultRowHeight="15" x14ac:dyDescent="0.25"/>
  <cols>
    <col min="1" max="1" width="47.28515625" customWidth="1"/>
    <col min="2" max="2" width="40.7109375" customWidth="1"/>
    <col min="3" max="3" width="18.5703125" style="90" bestFit="1" customWidth="1"/>
  </cols>
  <sheetData>
    <row r="1" spans="1:3" ht="15.75" x14ac:dyDescent="0.25">
      <c r="A1" s="83" t="s">
        <v>286</v>
      </c>
      <c r="B1" s="85" t="s">
        <v>263</v>
      </c>
      <c r="C1" s="85"/>
    </row>
    <row r="2" spans="1:3" ht="15.75" x14ac:dyDescent="0.25">
      <c r="A2" s="83" t="s">
        <v>287</v>
      </c>
      <c r="B2" s="85" t="str">
        <f>UPPER(Settings!B12)&amp;"_ATTESTATION_CEE_pre.pdf"</f>
        <v>COULLET_ATTESTATION_CEE_pre.pdf</v>
      </c>
      <c r="C2" s="85"/>
    </row>
    <row r="3" spans="1:3" ht="15.75" x14ac:dyDescent="0.25">
      <c r="A3" s="17" t="s">
        <v>283</v>
      </c>
      <c r="B3" s="84" t="s">
        <v>284</v>
      </c>
      <c r="C3" s="102" t="s">
        <v>285</v>
      </c>
    </row>
    <row r="4" spans="1:3" x14ac:dyDescent="0.25">
      <c r="A4" s="81" t="s">
        <v>98</v>
      </c>
      <c r="B4" s="81"/>
      <c r="C4" s="81"/>
    </row>
    <row r="5" spans="1:3" x14ac:dyDescent="0.25">
      <c r="A5" t="s">
        <v>95</v>
      </c>
      <c r="B5" s="51" t="s">
        <v>147</v>
      </c>
      <c r="C5" s="90" t="str">
        <f>_xlfn.CONCAT(UPPER(Settings!B12),", ",Settings!B13)</f>
        <v>COULLET, Julien</v>
      </c>
    </row>
    <row r="6" spans="1:3" x14ac:dyDescent="0.25">
      <c r="A6" t="s">
        <v>96</v>
      </c>
      <c r="B6" s="51" t="s">
        <v>220</v>
      </c>
      <c r="C6" s="103" t="str">
        <f>Settings!B8</f>
        <v>12345</v>
      </c>
    </row>
    <row r="7" spans="1:3" ht="30" x14ac:dyDescent="0.25">
      <c r="A7" s="47" t="s">
        <v>97</v>
      </c>
      <c r="B7" s="51" t="s">
        <v>223</v>
      </c>
      <c r="C7" s="113" t="str">
        <f>_xlfn.CONCAT(Settings!B18," ",Settings!B19,CHAR(10),Settings!B20," ",Settings!B21)</f>
        <v>147 rue des Liotards
26150 Romeyer</v>
      </c>
    </row>
    <row r="8" spans="1:3" x14ac:dyDescent="0.25">
      <c r="A8" t="s">
        <v>225</v>
      </c>
      <c r="B8" s="51" t="s">
        <v>221</v>
      </c>
      <c r="C8" s="90">
        <f>IF(Settings!B9="PO",1,0)</f>
        <v>0</v>
      </c>
    </row>
    <row r="9" spans="1:3" x14ac:dyDescent="0.25">
      <c r="A9" s="81" t="s">
        <v>100</v>
      </c>
      <c r="B9" s="81"/>
      <c r="C9" s="81"/>
    </row>
    <row r="10" spans="1:3" x14ac:dyDescent="0.25">
      <c r="A10" t="s">
        <v>93</v>
      </c>
      <c r="B10" s="51" t="s">
        <v>192</v>
      </c>
      <c r="C10" s="103" t="str">
        <f>Settings!B21</f>
        <v>Romeyer</v>
      </c>
    </row>
    <row r="11" spans="1:3" x14ac:dyDescent="0.25">
      <c r="A11" t="s">
        <v>94</v>
      </c>
      <c r="B11" s="51" t="s">
        <v>222</v>
      </c>
      <c r="C11" s="110" t="str">
        <f ca="1">TEXT(Settings!B5,"jj/mm/aaaa")</f>
        <v>02/12/2024</v>
      </c>
    </row>
    <row r="12" spans="1:3" x14ac:dyDescent="0.25">
      <c r="A12" t="s">
        <v>224</v>
      </c>
      <c r="B12" s="51" t="s">
        <v>197</v>
      </c>
      <c r="C12" s="103"/>
    </row>
  </sheetData>
  <mergeCells count="4">
    <mergeCell ref="A4:C4"/>
    <mergeCell ref="A9:C9"/>
    <mergeCell ref="B1:C1"/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C051-B1FE-45ED-A36B-BFC69ECC256B}">
  <dimension ref="A1:F75"/>
  <sheetViews>
    <sheetView topLeftCell="A22" workbookViewId="0">
      <selection activeCell="A11" sqref="A11:C11"/>
    </sheetView>
  </sheetViews>
  <sheetFormatPr baseColWidth="10" defaultRowHeight="15" x14ac:dyDescent="0.25"/>
  <cols>
    <col min="1" max="1" width="62.140625" bestFit="1" customWidth="1"/>
    <col min="2" max="2" width="40.7109375" customWidth="1"/>
    <col min="3" max="3" width="54" style="90" bestFit="1" customWidth="1"/>
  </cols>
  <sheetData>
    <row r="1" spans="1:6" ht="15.75" x14ac:dyDescent="0.25">
      <c r="A1" s="83" t="s">
        <v>286</v>
      </c>
      <c r="B1" s="85" t="s">
        <v>264</v>
      </c>
      <c r="C1" s="85"/>
    </row>
    <row r="2" spans="1:6" ht="15.75" x14ac:dyDescent="0.25">
      <c r="A2" s="83" t="s">
        <v>287</v>
      </c>
      <c r="B2" s="85" t="str">
        <f>UPPER(Settings!B12)&amp;"_ATTESTATION_TRAVAUX_DEVIS_pre.pdf"</f>
        <v>COULLET_ATTESTATION_TRAVAUX_DEVIS_pre.pdf</v>
      </c>
      <c r="C2" s="85"/>
    </row>
    <row r="3" spans="1:6" ht="15.75" x14ac:dyDescent="0.25">
      <c r="A3" s="17" t="s">
        <v>283</v>
      </c>
      <c r="B3" s="84" t="s">
        <v>284</v>
      </c>
      <c r="C3" s="102" t="s">
        <v>285</v>
      </c>
    </row>
    <row r="4" spans="1:6" x14ac:dyDescent="0.25">
      <c r="A4" s="81" t="s">
        <v>134</v>
      </c>
      <c r="B4" s="81"/>
      <c r="C4" s="81"/>
      <c r="E4" t="s">
        <v>267</v>
      </c>
      <c r="F4" t="s">
        <v>268</v>
      </c>
    </row>
    <row r="5" spans="1:6" x14ac:dyDescent="0.25">
      <c r="A5" t="s">
        <v>101</v>
      </c>
      <c r="B5" s="51" t="s">
        <v>147</v>
      </c>
      <c r="C5" s="90" t="str">
        <f>_xlfn.CONCAT(UPPER(Settings!B12),", ",Settings!B13)</f>
        <v>COULLET, Julien</v>
      </c>
      <c r="E5" t="s">
        <v>291</v>
      </c>
      <c r="F5" t="s">
        <v>292</v>
      </c>
    </row>
    <row r="6" spans="1:6" x14ac:dyDescent="0.25">
      <c r="A6" s="81" t="s">
        <v>135</v>
      </c>
      <c r="B6" s="81"/>
      <c r="C6" s="81"/>
    </row>
    <row r="7" spans="1:6" x14ac:dyDescent="0.25">
      <c r="A7" t="s">
        <v>63</v>
      </c>
      <c r="B7" s="51" t="s">
        <v>148</v>
      </c>
      <c r="C7" s="103" t="str">
        <f>Settings!B18</f>
        <v>147</v>
      </c>
    </row>
    <row r="8" spans="1:6" x14ac:dyDescent="0.25">
      <c r="A8" t="s">
        <v>9</v>
      </c>
      <c r="B8" s="51" t="s">
        <v>149</v>
      </c>
      <c r="C8" s="103" t="str">
        <f>Settings!B19</f>
        <v>rue des Liotards</v>
      </c>
    </row>
    <row r="9" spans="1:6" x14ac:dyDescent="0.25">
      <c r="A9" t="s">
        <v>15</v>
      </c>
      <c r="B9" s="51" t="s">
        <v>150</v>
      </c>
      <c r="C9" s="103" t="str">
        <f>Settings!B20</f>
        <v>26150</v>
      </c>
    </row>
    <row r="10" spans="1:6" x14ac:dyDescent="0.25">
      <c r="A10" t="s">
        <v>102</v>
      </c>
      <c r="B10" s="51" t="s">
        <v>151</v>
      </c>
      <c r="C10" s="103" t="str">
        <f>Settings!B21</f>
        <v>Romeyer</v>
      </c>
    </row>
    <row r="11" spans="1:6" x14ac:dyDescent="0.25">
      <c r="A11" s="81" t="s">
        <v>136</v>
      </c>
      <c r="B11" s="81"/>
      <c r="C11" s="81"/>
    </row>
    <row r="12" spans="1:6" x14ac:dyDescent="0.25">
      <c r="A12" t="s">
        <v>103</v>
      </c>
      <c r="B12" s="51" t="s">
        <v>152</v>
      </c>
      <c r="C12" s="90" t="str">
        <f>TEXT(E12,"0")</f>
        <v>24976</v>
      </c>
      <c r="E12" s="101">
        <f>Settings!M13</f>
        <v>24976.370000000003</v>
      </c>
    </row>
    <row r="13" spans="1:6" x14ac:dyDescent="0.25">
      <c r="A13" t="s">
        <v>104</v>
      </c>
      <c r="B13" s="51" t="s">
        <v>153</v>
      </c>
      <c r="C13" s="90" t="str">
        <f>TEXT(E13,"0")</f>
        <v>26350</v>
      </c>
      <c r="E13" s="101">
        <f>Settings!N13</f>
        <v>26350.07</v>
      </c>
    </row>
    <row r="14" spans="1:6" x14ac:dyDescent="0.25">
      <c r="A14" s="81" t="s">
        <v>137</v>
      </c>
      <c r="B14" s="81"/>
      <c r="C14" s="81"/>
      <c r="E14" s="93"/>
    </row>
    <row r="15" spans="1:6" x14ac:dyDescent="0.25">
      <c r="A15" t="s">
        <v>207</v>
      </c>
      <c r="B15" s="51" t="s">
        <v>154</v>
      </c>
      <c r="C15" s="104" t="str">
        <f>TEXT(DAY(Settings!B32),"00")</f>
        <v>24</v>
      </c>
      <c r="E15" s="93"/>
    </row>
    <row r="16" spans="1:6" x14ac:dyDescent="0.25">
      <c r="A16" t="s">
        <v>206</v>
      </c>
      <c r="B16" s="51" t="s">
        <v>155</v>
      </c>
      <c r="C16" s="104" t="str">
        <f>TEXT(MONTH(Settings!B32),"00")</f>
        <v>12</v>
      </c>
      <c r="E16" s="93"/>
    </row>
    <row r="17" spans="1:5" x14ac:dyDescent="0.25">
      <c r="A17" t="s">
        <v>208</v>
      </c>
      <c r="B17" s="51" t="s">
        <v>156</v>
      </c>
      <c r="C17" s="104" t="str">
        <f>TEXT(YEAR(Settings!B32),"00")</f>
        <v>2024</v>
      </c>
      <c r="E17" s="93"/>
    </row>
    <row r="18" spans="1:5" x14ac:dyDescent="0.25">
      <c r="A18" t="s">
        <v>105</v>
      </c>
      <c r="B18" s="51" t="s">
        <v>157</v>
      </c>
      <c r="C18" s="103" t="str">
        <f>Settings!B31</f>
        <v>A12345678910</v>
      </c>
      <c r="E18" s="93"/>
    </row>
    <row r="19" spans="1:5" x14ac:dyDescent="0.25">
      <c r="A19" t="s">
        <v>216</v>
      </c>
      <c r="B19" s="51" t="s">
        <v>158</v>
      </c>
      <c r="C19" s="103" t="str">
        <f>Settings!B33</f>
        <v>CC DU CRESTOIS ET DU PAYS DE SAILLANS COEUR DE DROME</v>
      </c>
      <c r="E19" s="93"/>
    </row>
    <row r="20" spans="1:5" x14ac:dyDescent="0.25">
      <c r="A20" t="s">
        <v>217</v>
      </c>
      <c r="B20" s="51" t="s">
        <v>159</v>
      </c>
      <c r="C20" s="103" t="str">
        <f>Settings!B34</f>
        <v>20004050900040</v>
      </c>
      <c r="E20" s="93"/>
    </row>
    <row r="21" spans="1:5" x14ac:dyDescent="0.25">
      <c r="A21" s="82" t="s">
        <v>106</v>
      </c>
      <c r="B21" s="82"/>
      <c r="C21" s="82"/>
      <c r="E21" s="93"/>
    </row>
    <row r="22" spans="1:5" x14ac:dyDescent="0.25">
      <c r="A22" t="s">
        <v>111</v>
      </c>
      <c r="B22" s="51" t="s">
        <v>160</v>
      </c>
      <c r="C22" s="90" t="str">
        <f t="shared" ref="C22:C24" si="0">TEXT(E22,"0,0")</f>
        <v>539,0</v>
      </c>
      <c r="E22" s="101">
        <f>Settings!F7</f>
        <v>539</v>
      </c>
    </row>
    <row r="23" spans="1:5" x14ac:dyDescent="0.25">
      <c r="A23" t="s">
        <v>112</v>
      </c>
      <c r="B23" s="51" t="s">
        <v>161</v>
      </c>
      <c r="C23" s="90" t="str">
        <f t="shared" si="0"/>
        <v>293,0</v>
      </c>
      <c r="E23" s="101">
        <f>Settings!F8</f>
        <v>293</v>
      </c>
    </row>
    <row r="24" spans="1:5" ht="18" x14ac:dyDescent="0.35">
      <c r="A24" s="46" t="s">
        <v>113</v>
      </c>
      <c r="B24" s="51" t="s">
        <v>162</v>
      </c>
      <c r="C24" s="90" t="str">
        <f t="shared" si="0"/>
        <v>18,0</v>
      </c>
      <c r="E24" s="101">
        <f>Settings!F9</f>
        <v>18</v>
      </c>
    </row>
    <row r="25" spans="1:5" x14ac:dyDescent="0.25">
      <c r="A25" t="s">
        <v>107</v>
      </c>
      <c r="B25" s="51" t="s">
        <v>163</v>
      </c>
      <c r="C25" s="103" t="str">
        <f>Settings!F6</f>
        <v>G</v>
      </c>
      <c r="E25" s="93"/>
    </row>
    <row r="26" spans="1:5" x14ac:dyDescent="0.25">
      <c r="A26" t="s">
        <v>108</v>
      </c>
      <c r="B26" s="51" t="s">
        <v>164</v>
      </c>
      <c r="C26" s="90" t="str">
        <f>TEXT(E26,"0,0")</f>
        <v>46,0</v>
      </c>
      <c r="E26" s="101">
        <f>Settings!F5</f>
        <v>46</v>
      </c>
    </row>
    <row r="27" spans="1:5" x14ac:dyDescent="0.25">
      <c r="A27" s="82" t="s">
        <v>109</v>
      </c>
      <c r="B27" s="82"/>
      <c r="C27" s="82"/>
      <c r="E27" s="93"/>
    </row>
    <row r="28" spans="1:5" x14ac:dyDescent="0.25">
      <c r="A28" t="s">
        <v>110</v>
      </c>
      <c r="B28" s="51" t="s">
        <v>165</v>
      </c>
      <c r="C28" s="90" t="str">
        <f>Settings!F13</f>
        <v>S3 (retenu MPRA)</v>
      </c>
      <c r="E28" s="93"/>
    </row>
    <row r="29" spans="1:5" x14ac:dyDescent="0.25">
      <c r="A29" t="s">
        <v>111</v>
      </c>
      <c r="B29" s="51" t="s">
        <v>166</v>
      </c>
      <c r="C29" s="90" t="str">
        <f t="shared" ref="C29:C30" si="1">TEXT(E29,"0,0")</f>
        <v>200,0</v>
      </c>
      <c r="E29" s="101">
        <f>Settings!F16</f>
        <v>200</v>
      </c>
    </row>
    <row r="30" spans="1:5" x14ac:dyDescent="0.25">
      <c r="A30" t="s">
        <v>112</v>
      </c>
      <c r="B30" s="51" t="s">
        <v>167</v>
      </c>
      <c r="C30" s="90" t="str">
        <f t="shared" si="1"/>
        <v>144,0</v>
      </c>
      <c r="E30" s="101">
        <f>Settings!F17</f>
        <v>144</v>
      </c>
    </row>
    <row r="31" spans="1:5" ht="18" x14ac:dyDescent="0.35">
      <c r="A31" s="46" t="s">
        <v>113</v>
      </c>
      <c r="B31" s="51" t="s">
        <v>168</v>
      </c>
      <c r="C31" s="90" t="str">
        <f>TEXT(E31,"0,0")</f>
        <v>6,0</v>
      </c>
      <c r="E31" s="101">
        <f>Settings!F18</f>
        <v>6</v>
      </c>
    </row>
    <row r="32" spans="1:5" x14ac:dyDescent="0.25">
      <c r="A32" t="s">
        <v>107</v>
      </c>
      <c r="B32" s="51" t="s">
        <v>169</v>
      </c>
      <c r="C32" s="103" t="str">
        <f>Settings!F15</f>
        <v>D</v>
      </c>
      <c r="E32" s="93"/>
    </row>
    <row r="33" spans="1:5" x14ac:dyDescent="0.25">
      <c r="A33" t="s">
        <v>108</v>
      </c>
      <c r="B33" s="51" t="s">
        <v>170</v>
      </c>
      <c r="C33" s="90" t="str">
        <f>TEXT(E33,"0,0")</f>
        <v>46,0</v>
      </c>
      <c r="E33" s="101">
        <f>Settings!F14</f>
        <v>46</v>
      </c>
    </row>
    <row r="34" spans="1:5" x14ac:dyDescent="0.25">
      <c r="A34" s="82" t="s">
        <v>114</v>
      </c>
      <c r="B34" s="82"/>
      <c r="C34" s="82"/>
    </row>
    <row r="35" spans="1:5" x14ac:dyDescent="0.25">
      <c r="A35" t="s">
        <v>115</v>
      </c>
      <c r="B35" s="51" t="s">
        <v>171</v>
      </c>
      <c r="C35" s="105">
        <f>IF(Settings!F20=2,1,0)</f>
        <v>0</v>
      </c>
    </row>
    <row r="36" spans="1:5" x14ac:dyDescent="0.25">
      <c r="A36" t="s">
        <v>116</v>
      </c>
      <c r="B36" s="51" t="s">
        <v>172</v>
      </c>
      <c r="C36" s="105">
        <f>IF(Settings!F20=3,1,0)</f>
        <v>1</v>
      </c>
    </row>
    <row r="37" spans="1:5" x14ac:dyDescent="0.25">
      <c r="A37" t="s">
        <v>117</v>
      </c>
      <c r="B37" s="51" t="s">
        <v>173</v>
      </c>
      <c r="C37" s="105">
        <f>IF(Settings!F20&gt;=4,1,0)</f>
        <v>0</v>
      </c>
    </row>
    <row r="38" spans="1:5" x14ac:dyDescent="0.25">
      <c r="A38" s="48" t="s">
        <v>138</v>
      </c>
      <c r="B38" s="48"/>
      <c r="C38" s="106"/>
    </row>
    <row r="39" spans="1:5" x14ac:dyDescent="0.25">
      <c r="A39" t="s">
        <v>120</v>
      </c>
      <c r="B39" s="51" t="s">
        <v>118</v>
      </c>
      <c r="C39" s="90" t="str">
        <f>IF(Settings!I6 = "","",Settings!I6)</f>
        <v>ITI des murs</v>
      </c>
    </row>
    <row r="40" spans="1:5" x14ac:dyDescent="0.25">
      <c r="A40" t="s">
        <v>122</v>
      </c>
      <c r="B40" s="51" t="s">
        <v>174</v>
      </c>
      <c r="C40" s="90" t="str">
        <f>IF(Settings!I7 = "","",Settings!I7)</f>
        <v>Fenêtres &amp; Volets</v>
      </c>
    </row>
    <row r="41" spans="1:5" x14ac:dyDescent="0.25">
      <c r="A41" t="s">
        <v>124</v>
      </c>
      <c r="B41" s="51" t="s">
        <v>176</v>
      </c>
      <c r="C41" s="90" t="str">
        <f>IF(Settings!I8 = "","",Settings!I8)</f>
        <v/>
      </c>
    </row>
    <row r="42" spans="1:5" x14ac:dyDescent="0.25">
      <c r="A42" t="s">
        <v>126</v>
      </c>
      <c r="B42" s="51" t="s">
        <v>178</v>
      </c>
      <c r="C42" s="90" t="str">
        <f>IF(Settings!I9 = "","",Settings!I9)</f>
        <v/>
      </c>
    </row>
    <row r="43" spans="1:5" x14ac:dyDescent="0.25">
      <c r="A43" t="s">
        <v>128</v>
      </c>
      <c r="B43" s="51" t="s">
        <v>180</v>
      </c>
      <c r="C43" s="90" t="str">
        <f>IF(Settings!I10 = "","",Settings!I10)</f>
        <v/>
      </c>
    </row>
    <row r="44" spans="1:5" x14ac:dyDescent="0.25">
      <c r="A44" t="s">
        <v>131</v>
      </c>
      <c r="B44" s="51" t="s">
        <v>183</v>
      </c>
      <c r="C44" s="90" t="str">
        <f>IF(Settings!I11 = "","",Settings!I11)</f>
        <v/>
      </c>
    </row>
    <row r="45" spans="1:5" x14ac:dyDescent="0.25">
      <c r="A45" t="s">
        <v>132</v>
      </c>
      <c r="B45" s="51" t="s">
        <v>184</v>
      </c>
      <c r="C45" s="90" t="str">
        <f>IF(Settings!I12 = "","",Settings!I12)</f>
        <v/>
      </c>
    </row>
    <row r="46" spans="1:5" ht="30" x14ac:dyDescent="0.25">
      <c r="A46" t="s">
        <v>121</v>
      </c>
      <c r="B46" s="51" t="s">
        <v>119</v>
      </c>
      <c r="C46" s="107" t="str">
        <f>IF(Settings!I6&lt;&gt;"",_xlfn.CONCAT(TEXT(Settings!M6,E$5),CHAR(10),TEXT(Settings!N6,F$5)),"")</f>
        <v>16 206 €HT
17 097 €TTC</v>
      </c>
    </row>
    <row r="47" spans="1:5" ht="30" x14ac:dyDescent="0.25">
      <c r="A47" t="s">
        <v>123</v>
      </c>
      <c r="B47" s="51" t="s">
        <v>175</v>
      </c>
      <c r="C47" s="107" t="str">
        <f>IF(Settings!I7&lt;&gt;"",_xlfn.CONCAT(TEXT(Settings!M7,E$5),CHAR(10),TEXT(Settings!N7,F$5)),"")</f>
        <v>8 771 €HT
9 253 €TTC</v>
      </c>
    </row>
    <row r="48" spans="1:5" x14ac:dyDescent="0.25">
      <c r="A48" t="s">
        <v>125</v>
      </c>
      <c r="B48" s="51" t="s">
        <v>177</v>
      </c>
      <c r="C48" s="107" t="str">
        <f>IF(Settings!I8&lt;&gt;"",_xlfn.CONCAT(TEXT(Settings!M8,E$5),CHAR(10),TEXT(Settings!N8,F$5)),"")</f>
        <v/>
      </c>
    </row>
    <row r="49" spans="1:3" x14ac:dyDescent="0.25">
      <c r="A49" t="s">
        <v>127</v>
      </c>
      <c r="B49" s="51" t="s">
        <v>179</v>
      </c>
      <c r="C49" s="107" t="str">
        <f>IF(Settings!I9&lt;&gt;"",_xlfn.CONCAT(TEXT(Settings!M9,E$5),CHAR(10),TEXT(Settings!N9,F$5)),"")</f>
        <v/>
      </c>
    </row>
    <row r="50" spans="1:3" x14ac:dyDescent="0.25">
      <c r="A50" t="s">
        <v>129</v>
      </c>
      <c r="B50" s="51" t="s">
        <v>181</v>
      </c>
      <c r="C50" s="107" t="str">
        <f>IF(Settings!I10&lt;&gt;"",_xlfn.CONCAT(TEXT(Settings!M10,E$5),CHAR(10),TEXT(Settings!N10,F$5)),"")</f>
        <v/>
      </c>
    </row>
    <row r="51" spans="1:3" x14ac:dyDescent="0.25">
      <c r="A51" t="s">
        <v>130</v>
      </c>
      <c r="B51" s="51" t="s">
        <v>182</v>
      </c>
      <c r="C51" s="107" t="str">
        <f>IF(Settings!I11&lt;&gt;"",_xlfn.CONCAT(TEXT(Settings!M11,E$5),CHAR(10),TEXT(Settings!N11,F$5)),"")</f>
        <v/>
      </c>
    </row>
    <row r="52" spans="1:3" x14ac:dyDescent="0.25">
      <c r="A52" t="s">
        <v>133</v>
      </c>
      <c r="B52" s="51" t="s">
        <v>185</v>
      </c>
      <c r="C52" s="107" t="str">
        <f>IF(Settings!I12&lt;&gt;"",_xlfn.CONCAT(TEXT(Settings!M12,E$5),CHAR(10),TEXT(Settings!N12,F$5)),"")</f>
        <v/>
      </c>
    </row>
    <row r="53" spans="1:3" x14ac:dyDescent="0.25">
      <c r="A53" s="49" t="s">
        <v>139</v>
      </c>
      <c r="B53" s="49"/>
      <c r="C53" s="106"/>
    </row>
    <row r="54" spans="1:3" x14ac:dyDescent="0.25">
      <c r="A54" t="s">
        <v>140</v>
      </c>
      <c r="B54" s="51" t="s">
        <v>186</v>
      </c>
    </row>
    <row r="55" spans="1:3" x14ac:dyDescent="0.25">
      <c r="A55" t="s">
        <v>142</v>
      </c>
      <c r="B55" s="51" t="s">
        <v>188</v>
      </c>
    </row>
    <row r="56" spans="1:3" x14ac:dyDescent="0.25">
      <c r="A56" t="s">
        <v>144</v>
      </c>
      <c r="B56" s="51" t="s">
        <v>190</v>
      </c>
    </row>
    <row r="57" spans="1:3" x14ac:dyDescent="0.25">
      <c r="A57" t="s">
        <v>141</v>
      </c>
      <c r="B57" s="51" t="s">
        <v>187</v>
      </c>
      <c r="C57" s="108"/>
    </row>
    <row r="58" spans="1:3" x14ac:dyDescent="0.25">
      <c r="A58" t="s">
        <v>143</v>
      </c>
      <c r="B58" s="51" t="s">
        <v>189</v>
      </c>
      <c r="C58" s="108"/>
    </row>
    <row r="59" spans="1:3" x14ac:dyDescent="0.25">
      <c r="A59" t="s">
        <v>145</v>
      </c>
      <c r="B59" s="51" t="s">
        <v>191</v>
      </c>
      <c r="C59" s="108"/>
    </row>
    <row r="60" spans="1:3" x14ac:dyDescent="0.25">
      <c r="A60" s="81" t="s">
        <v>100</v>
      </c>
      <c r="B60" s="81"/>
      <c r="C60" s="81"/>
    </row>
    <row r="61" spans="1:3" x14ac:dyDescent="0.25">
      <c r="A61" t="s">
        <v>93</v>
      </c>
      <c r="B61" s="51" t="s">
        <v>192</v>
      </c>
      <c r="C61" s="103" t="str">
        <f>C10</f>
        <v>Romeyer</v>
      </c>
    </row>
    <row r="62" spans="1:3" x14ac:dyDescent="0.25">
      <c r="A62" t="s">
        <v>209</v>
      </c>
      <c r="B62" s="51" t="s">
        <v>193</v>
      </c>
      <c r="C62" s="109" t="str">
        <f ca="1">TEXT(DAY(Settings!B5),"00")</f>
        <v>02</v>
      </c>
    </row>
    <row r="63" spans="1:3" x14ac:dyDescent="0.25">
      <c r="A63" t="s">
        <v>210</v>
      </c>
      <c r="B63" s="51" t="s">
        <v>194</v>
      </c>
      <c r="C63" s="90" t="str">
        <f ca="1">TEXT(MONTH(Settings!B5),"00")</f>
        <v>12</v>
      </c>
    </row>
    <row r="64" spans="1:3" x14ac:dyDescent="0.25">
      <c r="A64" t="s">
        <v>211</v>
      </c>
      <c r="B64" s="51" t="s">
        <v>195</v>
      </c>
      <c r="C64" s="90" t="str">
        <f ca="1">TEXT(YEAR(Settings!B5),"00")</f>
        <v>2024</v>
      </c>
    </row>
    <row r="65" spans="1:3" x14ac:dyDescent="0.25">
      <c r="A65" t="s">
        <v>146</v>
      </c>
      <c r="B65" s="51" t="s">
        <v>196</v>
      </c>
      <c r="C65" s="90" t="str">
        <f>_xlfn.CONCAT(UPPER(Settings!B12),", ",Settings!B13)</f>
        <v>COULLET, Julien</v>
      </c>
    </row>
    <row r="66" spans="1:3" x14ac:dyDescent="0.25">
      <c r="A66" t="s">
        <v>212</v>
      </c>
      <c r="B66" s="51" t="s">
        <v>197</v>
      </c>
    </row>
    <row r="67" spans="1:3" x14ac:dyDescent="0.25">
      <c r="A67" s="81" t="s">
        <v>213</v>
      </c>
      <c r="B67" s="81"/>
      <c r="C67" s="81"/>
    </row>
    <row r="68" spans="1:3" x14ac:dyDescent="0.25">
      <c r="A68" t="s">
        <v>93</v>
      </c>
      <c r="B68" s="51" t="s">
        <v>198</v>
      </c>
      <c r="C68" s="103" t="str">
        <f>Settings!B43</f>
        <v>Aouste-Sur-Sye</v>
      </c>
    </row>
    <row r="69" spans="1:3" x14ac:dyDescent="0.25">
      <c r="A69" t="s">
        <v>209</v>
      </c>
      <c r="B69" s="51" t="s">
        <v>199</v>
      </c>
      <c r="C69" s="109" t="str">
        <f ca="1">TEXT(DAY(Settings!B5),"00")</f>
        <v>02</v>
      </c>
    </row>
    <row r="70" spans="1:3" x14ac:dyDescent="0.25">
      <c r="A70" t="s">
        <v>210</v>
      </c>
      <c r="B70" s="51" t="s">
        <v>200</v>
      </c>
      <c r="C70" s="90" t="str">
        <f ca="1">TEXT(MONTH(Settings!B5),"00")</f>
        <v>12</v>
      </c>
    </row>
    <row r="71" spans="1:3" x14ac:dyDescent="0.25">
      <c r="A71" t="s">
        <v>211</v>
      </c>
      <c r="B71" s="51" t="s">
        <v>201</v>
      </c>
      <c r="C71" s="90" t="str">
        <f ca="1">TEXT(YEAR(Settings!B5),"0000")</f>
        <v>2024</v>
      </c>
    </row>
    <row r="72" spans="1:3" x14ac:dyDescent="0.25">
      <c r="A72" t="s">
        <v>214</v>
      </c>
      <c r="B72" s="51" t="s">
        <v>202</v>
      </c>
      <c r="C72" s="90" t="str">
        <f>UPPER(Settings!B39) &amp; ", " &amp;Settings!B40</f>
        <v>DU PELOUX, Lionel</v>
      </c>
    </row>
    <row r="73" spans="1:3" x14ac:dyDescent="0.25">
      <c r="A73" t="s">
        <v>215</v>
      </c>
      <c r="B73" s="51" t="s">
        <v>203</v>
      </c>
    </row>
    <row r="74" spans="1:3" x14ac:dyDescent="0.25">
      <c r="A74" t="s">
        <v>218</v>
      </c>
      <c r="B74" s="51" t="s">
        <v>204</v>
      </c>
      <c r="C74" s="103" t="str">
        <f>Settings!B33</f>
        <v>CC DU CRESTOIS ET DU PAYS DE SAILLANS COEUR DE DROME</v>
      </c>
    </row>
    <row r="75" spans="1:3" x14ac:dyDescent="0.25">
      <c r="A75" t="s">
        <v>219</v>
      </c>
      <c r="B75" s="51" t="s">
        <v>205</v>
      </c>
      <c r="C75" s="110" t="str">
        <f>TEXT(Settings!B34,"00000000000000")</f>
        <v>20004050900040</v>
      </c>
    </row>
  </sheetData>
  <mergeCells count="11">
    <mergeCell ref="B1:C1"/>
    <mergeCell ref="B2:C2"/>
    <mergeCell ref="A27:C27"/>
    <mergeCell ref="A34:C34"/>
    <mergeCell ref="A60:C60"/>
    <mergeCell ref="A67:C67"/>
    <mergeCell ref="A4:C4"/>
    <mergeCell ref="A6:C6"/>
    <mergeCell ref="A11:C11"/>
    <mergeCell ref="A14:C14"/>
    <mergeCell ref="A21:C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CDA3-E231-4C53-9F22-56FB0A6A51C3}">
  <dimension ref="A1:C75"/>
  <sheetViews>
    <sheetView workbookViewId="0">
      <selection activeCell="E15" sqref="E15"/>
    </sheetView>
  </sheetViews>
  <sheetFormatPr baseColWidth="10" defaultRowHeight="15" x14ac:dyDescent="0.25"/>
  <cols>
    <col min="1" max="1" width="62.140625" bestFit="1" customWidth="1"/>
    <col min="2" max="2" width="40.7109375" customWidth="1"/>
    <col min="3" max="3" width="54" style="90" bestFit="1" customWidth="1"/>
  </cols>
  <sheetData>
    <row r="1" spans="1:3" ht="15.75" x14ac:dyDescent="0.25">
      <c r="A1" s="83" t="s">
        <v>286</v>
      </c>
      <c r="B1" s="85" t="s">
        <v>262</v>
      </c>
      <c r="C1" s="85"/>
    </row>
    <row r="2" spans="1:3" ht="15.75" x14ac:dyDescent="0.25">
      <c r="A2" s="83" t="s">
        <v>287</v>
      </c>
      <c r="B2" s="85" t="str">
        <f>UPPER(Settings!B12)&amp;"_ATTESTATION_TRAVAUX_FACTURES_pre.pdf"</f>
        <v>COULLET_ATTESTATION_TRAVAUX_FACTURES_pre.pdf</v>
      </c>
      <c r="C2" s="85"/>
    </row>
    <row r="3" spans="1:3" ht="15.75" x14ac:dyDescent="0.25">
      <c r="A3" s="17" t="s">
        <v>265</v>
      </c>
      <c r="B3" s="84" t="s">
        <v>284</v>
      </c>
      <c r="C3" s="102" t="s">
        <v>285</v>
      </c>
    </row>
    <row r="4" spans="1:3" x14ac:dyDescent="0.25">
      <c r="A4" s="48" t="s">
        <v>134</v>
      </c>
      <c r="B4" s="48"/>
      <c r="C4" s="106"/>
    </row>
    <row r="5" spans="1:3" x14ac:dyDescent="0.25">
      <c r="A5" t="s">
        <v>101</v>
      </c>
      <c r="B5" s="51" t="s">
        <v>147</v>
      </c>
      <c r="C5" s="90" t="str">
        <f>IF(VLOOKUP(B5,'Attestation travaux (devis)'!B4:C75,2,FALSE)&lt;&gt;"",VLOOKUP(B5,'Attestation travaux (devis)'!B4:C75,2,FALSE),"")</f>
        <v>COULLET, Julien</v>
      </c>
    </row>
    <row r="6" spans="1:3" x14ac:dyDescent="0.25">
      <c r="A6" s="48" t="s">
        <v>135</v>
      </c>
      <c r="B6" s="48"/>
      <c r="C6" s="106"/>
    </row>
    <row r="7" spans="1:3" x14ac:dyDescent="0.25">
      <c r="A7" t="s">
        <v>63</v>
      </c>
      <c r="B7" s="51" t="s">
        <v>148</v>
      </c>
      <c r="C7" s="103" t="str">
        <f>IF(VLOOKUP(B7,'Attestation travaux (devis)'!B5:C77,2,FALSE)&lt;&gt;"",VLOOKUP(B7,'Attestation travaux (devis)'!B5:C77,2,FALSE),"")</f>
        <v>147</v>
      </c>
    </row>
    <row r="8" spans="1:3" x14ac:dyDescent="0.25">
      <c r="A8" t="s">
        <v>9</v>
      </c>
      <c r="B8" s="51" t="s">
        <v>149</v>
      </c>
      <c r="C8" s="103" t="str">
        <f>IF(VLOOKUP(B8,'Attestation travaux (devis)'!B6:C78,2,FALSE)&lt;&gt;"",VLOOKUP(B8,'Attestation travaux (devis)'!B6:C78,2,FALSE),"")</f>
        <v>rue des Liotards</v>
      </c>
    </row>
    <row r="9" spans="1:3" x14ac:dyDescent="0.25">
      <c r="A9" t="s">
        <v>15</v>
      </c>
      <c r="B9" s="51" t="s">
        <v>150</v>
      </c>
      <c r="C9" s="103" t="str">
        <f>IF(VLOOKUP(B9,'Attestation travaux (devis)'!B7:C79,2,FALSE)&lt;&gt;"",VLOOKUP(B9,'Attestation travaux (devis)'!B7:C79,2,FALSE),"")</f>
        <v>26150</v>
      </c>
    </row>
    <row r="10" spans="1:3" x14ac:dyDescent="0.25">
      <c r="A10" t="s">
        <v>102</v>
      </c>
      <c r="B10" s="51" t="s">
        <v>151</v>
      </c>
      <c r="C10" s="103" t="str">
        <f>IF(VLOOKUP(B10,'Attestation travaux (devis)'!B8:C80,2,FALSE)&lt;&gt;"",VLOOKUP(B10,'Attestation travaux (devis)'!B8:C80,2,FALSE),"")</f>
        <v>Romeyer</v>
      </c>
    </row>
    <row r="11" spans="1:3" x14ac:dyDescent="0.25">
      <c r="A11" s="48" t="s">
        <v>136</v>
      </c>
      <c r="B11" s="48"/>
      <c r="C11" s="106"/>
    </row>
    <row r="12" spans="1:3" x14ac:dyDescent="0.25">
      <c r="A12" t="s">
        <v>103</v>
      </c>
      <c r="B12" s="51" t="s">
        <v>152</v>
      </c>
      <c r="C12" s="90" t="str">
        <f>IF(VLOOKUP(B12,'Attestation travaux (devis)'!B10:C82,2,FALSE)&lt;&gt;"",VLOOKUP(B12,'Attestation travaux (devis)'!B10:C82,2,FALSE),"")</f>
        <v>24976</v>
      </c>
    </row>
    <row r="13" spans="1:3" x14ac:dyDescent="0.25">
      <c r="A13" t="s">
        <v>104</v>
      </c>
      <c r="B13" s="51" t="s">
        <v>153</v>
      </c>
      <c r="C13" s="90" t="str">
        <f>IF(VLOOKUP(B13,'Attestation travaux (devis)'!B11:C83,2,FALSE)&lt;&gt;"",VLOOKUP(B13,'Attestation travaux (devis)'!B11:C83,2,FALSE),"")</f>
        <v>26350</v>
      </c>
    </row>
    <row r="14" spans="1:3" x14ac:dyDescent="0.25">
      <c r="A14" s="48" t="s">
        <v>137</v>
      </c>
      <c r="B14" s="48"/>
      <c r="C14" s="106"/>
    </row>
    <row r="15" spans="1:3" x14ac:dyDescent="0.25">
      <c r="A15" t="s">
        <v>207</v>
      </c>
      <c r="B15" s="51" t="s">
        <v>154</v>
      </c>
      <c r="C15" s="90" t="str">
        <f>IF(VLOOKUP(B15,'Attestation travaux (devis)'!B13:C85,2,FALSE)&lt;&gt;"",VLOOKUP(B15,'Attestation travaux (devis)'!B13:C85,2,FALSE),"")</f>
        <v>24</v>
      </c>
    </row>
    <row r="16" spans="1:3" x14ac:dyDescent="0.25">
      <c r="A16" t="s">
        <v>206</v>
      </c>
      <c r="B16" s="51" t="s">
        <v>155</v>
      </c>
      <c r="C16" s="90" t="str">
        <f>IF(VLOOKUP(B16,'Attestation travaux (devis)'!B14:C86,2,FALSE)&lt;&gt;"",VLOOKUP(B16,'Attestation travaux (devis)'!B14:C86,2,FALSE),"")</f>
        <v>12</v>
      </c>
    </row>
    <row r="17" spans="1:3" x14ac:dyDescent="0.25">
      <c r="A17" t="s">
        <v>208</v>
      </c>
      <c r="B17" s="51" t="s">
        <v>156</v>
      </c>
      <c r="C17" s="90" t="str">
        <f>IF(VLOOKUP(B17,'Attestation travaux (devis)'!B15:C87,2,FALSE)&lt;&gt;"",VLOOKUP(B17,'Attestation travaux (devis)'!B15:C87,2,FALSE),"")</f>
        <v>2024</v>
      </c>
    </row>
    <row r="18" spans="1:3" x14ac:dyDescent="0.25">
      <c r="A18" t="s">
        <v>105</v>
      </c>
      <c r="B18" s="51" t="s">
        <v>157</v>
      </c>
      <c r="C18" s="90" t="str">
        <f>IF(VLOOKUP(B18,'Attestation travaux (devis)'!B16:C88,2,FALSE)&lt;&gt;"",VLOOKUP(B18,'Attestation travaux (devis)'!B16:C88,2,FALSE),"")</f>
        <v>A12345678910</v>
      </c>
    </row>
    <row r="19" spans="1:3" x14ac:dyDescent="0.25">
      <c r="A19" t="s">
        <v>216</v>
      </c>
      <c r="B19" s="51" t="s">
        <v>158</v>
      </c>
      <c r="C19" s="90" t="str">
        <f>IF(VLOOKUP(B19,'Attestation travaux (devis)'!B17:C89,2,FALSE)&lt;&gt;"",VLOOKUP(B19,'Attestation travaux (devis)'!B17:C89,2,FALSE),"")</f>
        <v>CC DU CRESTOIS ET DU PAYS DE SAILLANS COEUR DE DROME</v>
      </c>
    </row>
    <row r="20" spans="1:3" x14ac:dyDescent="0.25">
      <c r="A20" t="s">
        <v>217</v>
      </c>
      <c r="B20" s="51" t="s">
        <v>159</v>
      </c>
      <c r="C20" s="90" t="str">
        <f>IF(VLOOKUP(B20,'Attestation travaux (devis)'!B18:C90,2,FALSE)&lt;&gt;"",VLOOKUP(B20,'Attestation travaux (devis)'!B18:C90,2,FALSE),"")</f>
        <v>20004050900040</v>
      </c>
    </row>
    <row r="21" spans="1:3" x14ac:dyDescent="0.25">
      <c r="A21" s="50" t="s">
        <v>106</v>
      </c>
      <c r="B21" s="50"/>
      <c r="C21" s="111"/>
    </row>
    <row r="22" spans="1:3" x14ac:dyDescent="0.25">
      <c r="A22" t="s">
        <v>111</v>
      </c>
      <c r="B22" s="51" t="s">
        <v>160</v>
      </c>
      <c r="C22" s="90" t="str">
        <f>IF(VLOOKUP(B22,'Attestation travaux (devis)'!B20:C92,2,FALSE)&lt;&gt;"",VLOOKUP(B22,'Attestation travaux (devis)'!B20:C92,2,FALSE),"")</f>
        <v>539,0</v>
      </c>
    </row>
    <row r="23" spans="1:3" x14ac:dyDescent="0.25">
      <c r="A23" t="s">
        <v>112</v>
      </c>
      <c r="B23" s="51" t="s">
        <v>161</v>
      </c>
      <c r="C23" s="90" t="str">
        <f>IF(VLOOKUP(B23,'Attestation travaux (devis)'!B21:C93,2,FALSE)&lt;&gt;"",VLOOKUP(B23,'Attestation travaux (devis)'!B21:C93,2,FALSE),"")</f>
        <v>293,0</v>
      </c>
    </row>
    <row r="24" spans="1:3" ht="18" x14ac:dyDescent="0.35">
      <c r="A24" s="46" t="s">
        <v>113</v>
      </c>
      <c r="B24" s="51" t="s">
        <v>162</v>
      </c>
      <c r="C24" s="90" t="str">
        <f>IF(VLOOKUP(B24,'Attestation travaux (devis)'!B22:C94,2,FALSE)&lt;&gt;"",VLOOKUP(B24,'Attestation travaux (devis)'!B22:C94,2,FALSE),"")</f>
        <v>18,0</v>
      </c>
    </row>
    <row r="25" spans="1:3" x14ac:dyDescent="0.25">
      <c r="A25" t="s">
        <v>107</v>
      </c>
      <c r="B25" s="51" t="s">
        <v>163</v>
      </c>
      <c r="C25" s="90" t="str">
        <f>IF(VLOOKUP(B25,'Attestation travaux (devis)'!B23:C95,2,FALSE)&lt;&gt;"",VLOOKUP(B25,'Attestation travaux (devis)'!B23:C95,2,FALSE),"")</f>
        <v>G</v>
      </c>
    </row>
    <row r="26" spans="1:3" x14ac:dyDescent="0.25">
      <c r="A26" t="s">
        <v>108</v>
      </c>
      <c r="B26" s="51" t="s">
        <v>164</v>
      </c>
      <c r="C26" s="90" t="str">
        <f>IF(VLOOKUP(B26,'Attestation travaux (devis)'!B24:C96,2,FALSE)&lt;&gt;"",VLOOKUP(B26,'Attestation travaux (devis)'!B24:C96,2,FALSE),"")</f>
        <v>46,0</v>
      </c>
    </row>
    <row r="27" spans="1:3" x14ac:dyDescent="0.25">
      <c r="A27" s="50" t="s">
        <v>109</v>
      </c>
      <c r="B27" s="50"/>
      <c r="C27" s="111"/>
    </row>
    <row r="28" spans="1:3" x14ac:dyDescent="0.25">
      <c r="A28" t="s">
        <v>110</v>
      </c>
      <c r="B28" s="51" t="s">
        <v>165</v>
      </c>
      <c r="C28" s="90" t="str">
        <f>IF(VLOOKUP(B28,'Attestation travaux (devis)'!B26:C98,2,FALSE)&lt;&gt;"",VLOOKUP(B28,'Attestation travaux (devis)'!B26:C98,2,FALSE),"")</f>
        <v>S3 (retenu MPRA)</v>
      </c>
    </row>
    <row r="29" spans="1:3" x14ac:dyDescent="0.25">
      <c r="A29" t="s">
        <v>111</v>
      </c>
      <c r="B29" s="51" t="s">
        <v>166</v>
      </c>
      <c r="C29" s="90" t="str">
        <f>IF(VLOOKUP(B29,'Attestation travaux (devis)'!B27:C99,2,FALSE)&lt;&gt;"",VLOOKUP(B29,'Attestation travaux (devis)'!B27:C99,2,FALSE),"")</f>
        <v>200,0</v>
      </c>
    </row>
    <row r="30" spans="1:3" x14ac:dyDescent="0.25">
      <c r="A30" t="s">
        <v>112</v>
      </c>
      <c r="B30" s="51" t="s">
        <v>167</v>
      </c>
      <c r="C30" s="105" t="str">
        <f>IF(VLOOKUP(B30,'Attestation travaux (devis)'!B28:C100,2,FALSE)&lt;&gt;"",VLOOKUP(B30,'Attestation travaux (devis)'!B28:C100,2,FALSE),"")</f>
        <v>144,0</v>
      </c>
    </row>
    <row r="31" spans="1:3" ht="18" x14ac:dyDescent="0.35">
      <c r="A31" s="46" t="s">
        <v>113</v>
      </c>
      <c r="B31" s="51" t="s">
        <v>168</v>
      </c>
      <c r="C31" s="90" t="str">
        <f>IF(VLOOKUP(B31,'Attestation travaux (devis)'!B29:C101,2,FALSE)&lt;&gt;"",VLOOKUP(B31,'Attestation travaux (devis)'!B29:C101,2,FALSE),"")</f>
        <v>6,0</v>
      </c>
    </row>
    <row r="32" spans="1:3" x14ac:dyDescent="0.25">
      <c r="A32" t="s">
        <v>107</v>
      </c>
      <c r="B32" s="51" t="s">
        <v>169</v>
      </c>
      <c r="C32" s="90" t="str">
        <f>IF(VLOOKUP(B32,'Attestation travaux (devis)'!B30:C102,2,FALSE)&lt;&gt;"",VLOOKUP(B32,'Attestation travaux (devis)'!B30:C102,2,FALSE),"")</f>
        <v>D</v>
      </c>
    </row>
    <row r="33" spans="1:3" x14ac:dyDescent="0.25">
      <c r="A33" t="s">
        <v>108</v>
      </c>
      <c r="B33" s="51" t="s">
        <v>170</v>
      </c>
      <c r="C33" s="90" t="str">
        <f>IF(VLOOKUP(B33,'Attestation travaux (devis)'!B31:C103,2,FALSE)&lt;&gt;"",VLOOKUP(B33,'Attestation travaux (devis)'!B31:C103,2,FALSE),"")</f>
        <v>46,0</v>
      </c>
    </row>
    <row r="34" spans="1:3" x14ac:dyDescent="0.25">
      <c r="A34" s="50" t="s">
        <v>114</v>
      </c>
      <c r="B34" s="50"/>
      <c r="C34" s="111"/>
    </row>
    <row r="35" spans="1:3" x14ac:dyDescent="0.25">
      <c r="A35" t="s">
        <v>115</v>
      </c>
      <c r="B35" s="51" t="s">
        <v>171</v>
      </c>
      <c r="C35" s="90">
        <f>IF(VLOOKUP(B35,'Attestation travaux (devis)'!B33:C105,2,FALSE)&lt;&gt;"",VLOOKUP(B35,'Attestation travaux (devis)'!B33:C105,2,FALSE),"")</f>
        <v>0</v>
      </c>
    </row>
    <row r="36" spans="1:3" x14ac:dyDescent="0.25">
      <c r="A36" t="s">
        <v>116</v>
      </c>
      <c r="B36" s="51" t="s">
        <v>172</v>
      </c>
      <c r="C36" s="90">
        <f>IF(VLOOKUP(B36,'Attestation travaux (devis)'!B34:C106,2,FALSE)&lt;&gt;"",VLOOKUP(B36,'Attestation travaux (devis)'!B34:C106,2,FALSE),"")</f>
        <v>1</v>
      </c>
    </row>
    <row r="37" spans="1:3" x14ac:dyDescent="0.25">
      <c r="A37" t="s">
        <v>117</v>
      </c>
      <c r="B37" s="51" t="s">
        <v>173</v>
      </c>
      <c r="C37" s="90">
        <f>IF(VLOOKUP(B37,'Attestation travaux (devis)'!B35:C107,2,FALSE)&lt;&gt;"",VLOOKUP(B37,'Attestation travaux (devis)'!B35:C107,2,FALSE),"")</f>
        <v>0</v>
      </c>
    </row>
    <row r="38" spans="1:3" x14ac:dyDescent="0.25">
      <c r="A38" s="48" t="s">
        <v>138</v>
      </c>
      <c r="B38" s="48"/>
      <c r="C38" s="106"/>
    </row>
    <row r="39" spans="1:3" x14ac:dyDescent="0.25">
      <c r="A39" t="s">
        <v>120</v>
      </c>
      <c r="B39" s="51" t="s">
        <v>118</v>
      </c>
      <c r="C39" s="107" t="str">
        <f>IF(VLOOKUP(B39,'Attestation travaux (devis)'!B37:C109,2,FALSE)&lt;&gt;"",VLOOKUP(B39,'Attestation travaux (devis)'!B37:C109,2,FALSE),"")</f>
        <v>ITI des murs</v>
      </c>
    </row>
    <row r="40" spans="1:3" x14ac:dyDescent="0.25">
      <c r="A40" t="s">
        <v>122</v>
      </c>
      <c r="B40" s="51" t="s">
        <v>174</v>
      </c>
      <c r="C40" s="107" t="str">
        <f>IF(VLOOKUP(B40,'Attestation travaux (devis)'!B38:C110,2,FALSE)&lt;&gt;"",VLOOKUP(B40,'Attestation travaux (devis)'!B38:C110,2,FALSE),"")</f>
        <v>Fenêtres &amp; Volets</v>
      </c>
    </row>
    <row r="41" spans="1:3" x14ac:dyDescent="0.25">
      <c r="A41" t="s">
        <v>124</v>
      </c>
      <c r="B41" s="51" t="s">
        <v>176</v>
      </c>
      <c r="C41" s="107" t="str">
        <f>IF(VLOOKUP(B41,'Attestation travaux (devis)'!B39:C111,2,FALSE)&lt;&gt;"",VLOOKUP(B41,'Attestation travaux (devis)'!B39:C111,2,FALSE),"")</f>
        <v/>
      </c>
    </row>
    <row r="42" spans="1:3" x14ac:dyDescent="0.25">
      <c r="A42" t="s">
        <v>126</v>
      </c>
      <c r="B42" s="51" t="s">
        <v>178</v>
      </c>
      <c r="C42" s="107" t="str">
        <f>IF(VLOOKUP(B42,'Attestation travaux (devis)'!B40:C112,2,FALSE)&lt;&gt;"",VLOOKUP(B42,'Attestation travaux (devis)'!B40:C112,2,FALSE),"")</f>
        <v/>
      </c>
    </row>
    <row r="43" spans="1:3" x14ac:dyDescent="0.25">
      <c r="A43" t="s">
        <v>128</v>
      </c>
      <c r="B43" s="51" t="s">
        <v>180</v>
      </c>
      <c r="C43" s="107" t="str">
        <f>IF(VLOOKUP(B43,'Attestation travaux (devis)'!B41:C113,2,FALSE)&lt;&gt;"",VLOOKUP(B43,'Attestation travaux (devis)'!B41:C113,2,FALSE),"")</f>
        <v/>
      </c>
    </row>
    <row r="44" spans="1:3" x14ac:dyDescent="0.25">
      <c r="A44" t="s">
        <v>131</v>
      </c>
      <c r="B44" s="51" t="s">
        <v>183</v>
      </c>
      <c r="C44" s="107" t="str">
        <f>IF(VLOOKUP(B44,'Attestation travaux (devis)'!B42:C114,2,FALSE)&lt;&gt;"",VLOOKUP(B44,'Attestation travaux (devis)'!B42:C114,2,FALSE),"")</f>
        <v/>
      </c>
    </row>
    <row r="45" spans="1:3" x14ac:dyDescent="0.25">
      <c r="A45" t="s">
        <v>132</v>
      </c>
      <c r="B45" s="51" t="s">
        <v>184</v>
      </c>
      <c r="C45" s="107" t="str">
        <f>IF(VLOOKUP(B45,'Attestation travaux (devis)'!B43:C115,2,FALSE)&lt;&gt;"",VLOOKUP(B45,'Attestation travaux (devis)'!B43:C115,2,FALSE),"")</f>
        <v/>
      </c>
    </row>
    <row r="46" spans="1:3" ht="30" x14ac:dyDescent="0.25">
      <c r="A46" t="s">
        <v>121</v>
      </c>
      <c r="B46" s="51" t="s">
        <v>119</v>
      </c>
      <c r="C46" s="107" t="str">
        <f>IF(VLOOKUP(B46,'Attestation travaux (devis)'!B44:C116,2,FALSE)&lt;&gt;"",VLOOKUP(B46,'Attestation travaux (devis)'!B44:C116,2,FALSE),"")</f>
        <v>16 206 €HT
17 097 €TTC</v>
      </c>
    </row>
    <row r="47" spans="1:3" ht="30" x14ac:dyDescent="0.25">
      <c r="A47" t="s">
        <v>123</v>
      </c>
      <c r="B47" s="51" t="s">
        <v>175</v>
      </c>
      <c r="C47" s="107" t="str">
        <f>IF(VLOOKUP(B47,'Attestation travaux (devis)'!B45:C117,2,FALSE)&lt;&gt;"",VLOOKUP(B47,'Attestation travaux (devis)'!B45:C117,2,FALSE),"")</f>
        <v>8 771 €HT
9 253 €TTC</v>
      </c>
    </row>
    <row r="48" spans="1:3" x14ac:dyDescent="0.25">
      <c r="A48" t="s">
        <v>125</v>
      </c>
      <c r="B48" s="51" t="s">
        <v>177</v>
      </c>
      <c r="C48" s="107" t="str">
        <f>IF(VLOOKUP(B48,'Attestation travaux (devis)'!B46:C118,2,FALSE)&lt;&gt;"",VLOOKUP(B48,'Attestation travaux (devis)'!B46:C118,2,FALSE),"")</f>
        <v/>
      </c>
    </row>
    <row r="49" spans="1:3" x14ac:dyDescent="0.25">
      <c r="A49" t="s">
        <v>127</v>
      </c>
      <c r="B49" s="51" t="s">
        <v>179</v>
      </c>
      <c r="C49" s="107" t="str">
        <f>IF(VLOOKUP(B49,'Attestation travaux (devis)'!B47:C119,2,FALSE)&lt;&gt;"",VLOOKUP(B49,'Attestation travaux (devis)'!B47:C119,2,FALSE),"")</f>
        <v/>
      </c>
    </row>
    <row r="50" spans="1:3" x14ac:dyDescent="0.25">
      <c r="A50" t="s">
        <v>129</v>
      </c>
      <c r="B50" s="51" t="s">
        <v>181</v>
      </c>
      <c r="C50" s="107" t="str">
        <f>IF(VLOOKUP(B50,'Attestation travaux (devis)'!B48:C120,2,FALSE)&lt;&gt;"",VLOOKUP(B50,'Attestation travaux (devis)'!B48:C120,2,FALSE),"")</f>
        <v/>
      </c>
    </row>
    <row r="51" spans="1:3" x14ac:dyDescent="0.25">
      <c r="A51" t="s">
        <v>130</v>
      </c>
      <c r="B51" s="51" t="s">
        <v>182</v>
      </c>
      <c r="C51" s="107" t="str">
        <f>IF(VLOOKUP(B51,'Attestation travaux (devis)'!B49:C121,2,FALSE)&lt;&gt;"",VLOOKUP(B51,'Attestation travaux (devis)'!B49:C121,2,FALSE),"")</f>
        <v/>
      </c>
    </row>
    <row r="52" spans="1:3" x14ac:dyDescent="0.25">
      <c r="A52" t="s">
        <v>133</v>
      </c>
      <c r="B52" s="51" t="s">
        <v>185</v>
      </c>
      <c r="C52" s="107" t="str">
        <f>IF(VLOOKUP(B52,'Attestation travaux (devis)'!B50:C122,2,FALSE)&lt;&gt;"",VLOOKUP(B52,'Attestation travaux (devis)'!B50:C122,2,FALSE),"")</f>
        <v/>
      </c>
    </row>
    <row r="53" spans="1:3" x14ac:dyDescent="0.25">
      <c r="A53" s="49" t="s">
        <v>139</v>
      </c>
      <c r="B53" s="49"/>
      <c r="C53" s="106"/>
    </row>
    <row r="54" spans="1:3" x14ac:dyDescent="0.25">
      <c r="A54" t="s">
        <v>140</v>
      </c>
      <c r="B54" s="51" t="s">
        <v>186</v>
      </c>
      <c r="C54" s="107" t="str">
        <f>IF(VLOOKUP(B54,'Attestation travaux (devis)'!B52:C124,2,FALSE)&lt;&gt;"",VLOOKUP(B54,'Attestation travaux (devis)'!B52:C124,2,FALSE),"")</f>
        <v/>
      </c>
    </row>
    <row r="55" spans="1:3" x14ac:dyDescent="0.25">
      <c r="A55" t="s">
        <v>142</v>
      </c>
      <c r="B55" s="51" t="s">
        <v>188</v>
      </c>
      <c r="C55" s="107" t="str">
        <f>IF(VLOOKUP(B55,'Attestation travaux (devis)'!B53:C125,2,FALSE)&lt;&gt;"",VLOOKUP(B55,'Attestation travaux (devis)'!B53:C125,2,FALSE),"")</f>
        <v/>
      </c>
    </row>
    <row r="56" spans="1:3" x14ac:dyDescent="0.25">
      <c r="A56" t="s">
        <v>144</v>
      </c>
      <c r="B56" s="51" t="s">
        <v>190</v>
      </c>
      <c r="C56" s="107" t="str">
        <f>IF(VLOOKUP(B56,'Attestation travaux (devis)'!B54:C126,2,FALSE)&lt;&gt;"",VLOOKUP(B56,'Attestation travaux (devis)'!B54:C126,2,FALSE),"")</f>
        <v/>
      </c>
    </row>
    <row r="57" spans="1:3" x14ac:dyDescent="0.25">
      <c r="A57" t="s">
        <v>141</v>
      </c>
      <c r="B57" s="51" t="s">
        <v>187</v>
      </c>
      <c r="C57" s="107" t="str">
        <f>IF(VLOOKUP(B57,'Attestation travaux (devis)'!B55:C127,2,FALSE)&lt;&gt;"",VLOOKUP(B57,'Attestation travaux (devis)'!B55:C127,2,FALSE),"")</f>
        <v/>
      </c>
    </row>
    <row r="58" spans="1:3" x14ac:dyDescent="0.25">
      <c r="A58" t="s">
        <v>143</v>
      </c>
      <c r="B58" s="51" t="s">
        <v>189</v>
      </c>
      <c r="C58" s="107" t="str">
        <f>IF(VLOOKUP(B58,'Attestation travaux (devis)'!B56:C128,2,FALSE)&lt;&gt;"",VLOOKUP(B58,'Attestation travaux (devis)'!B56:C128,2,FALSE),"")</f>
        <v/>
      </c>
    </row>
    <row r="59" spans="1:3" x14ac:dyDescent="0.25">
      <c r="A59" t="s">
        <v>145</v>
      </c>
      <c r="B59" s="51" t="s">
        <v>191</v>
      </c>
      <c r="C59" s="107" t="str">
        <f>IF(VLOOKUP(B59,'Attestation travaux (devis)'!B57:C129,2,FALSE)&lt;&gt;"",VLOOKUP(B59,'Attestation travaux (devis)'!B57:C129,2,FALSE),"")</f>
        <v/>
      </c>
    </row>
    <row r="60" spans="1:3" x14ac:dyDescent="0.25">
      <c r="A60" s="48" t="s">
        <v>100</v>
      </c>
      <c r="B60" s="48"/>
      <c r="C60" s="106"/>
    </row>
    <row r="61" spans="1:3" x14ac:dyDescent="0.25">
      <c r="A61" t="s">
        <v>93</v>
      </c>
      <c r="B61" s="51" t="s">
        <v>192</v>
      </c>
      <c r="C61" s="90" t="str">
        <f>IF(VLOOKUP(B61,'Attestation travaux (devis)'!B59:C131,2,FALSE)&lt;&gt;"",VLOOKUP(B61,'Attestation travaux (devis)'!B59:C131,2,FALSE),"")</f>
        <v>Romeyer</v>
      </c>
    </row>
    <row r="62" spans="1:3" x14ac:dyDescent="0.25">
      <c r="A62" t="s">
        <v>209</v>
      </c>
      <c r="B62" s="51" t="s">
        <v>193</v>
      </c>
      <c r="C62" s="109" t="str">
        <f ca="1">IF(VLOOKUP(B62,'Attestation travaux (devis)'!B60:C132,2,FALSE)&lt;&gt;"",VLOOKUP(B62,'Attestation travaux (devis)'!B60:C132,2,FALSE),"")</f>
        <v>02</v>
      </c>
    </row>
    <row r="63" spans="1:3" x14ac:dyDescent="0.25">
      <c r="A63" t="s">
        <v>210</v>
      </c>
      <c r="B63" s="51" t="s">
        <v>194</v>
      </c>
      <c r="C63" s="90" t="str">
        <f ca="1">IF(VLOOKUP(B63,'Attestation travaux (devis)'!B61:C133,2,FALSE)&lt;&gt;"",VLOOKUP(B63,'Attestation travaux (devis)'!B61:C133,2,FALSE),"")</f>
        <v>12</v>
      </c>
    </row>
    <row r="64" spans="1:3" x14ac:dyDescent="0.25">
      <c r="A64" t="s">
        <v>211</v>
      </c>
      <c r="B64" s="51" t="s">
        <v>195</v>
      </c>
      <c r="C64" s="90" t="str">
        <f ca="1">IF(VLOOKUP(B64,'Attestation travaux (devis)'!B62:C134,2,FALSE)&lt;&gt;"",VLOOKUP(B64,'Attestation travaux (devis)'!B62:C134,2,FALSE),"")</f>
        <v>2024</v>
      </c>
    </row>
    <row r="65" spans="1:3" x14ac:dyDescent="0.25">
      <c r="A65" t="s">
        <v>146</v>
      </c>
      <c r="B65" s="51" t="s">
        <v>196</v>
      </c>
      <c r="C65" s="90" t="str">
        <f>IF(VLOOKUP(B65,'Attestation travaux (devis)'!B63:C135,2,FALSE)&lt;&gt;"",VLOOKUP(B65,'Attestation travaux (devis)'!B63:C135,2,FALSE),"")</f>
        <v>COULLET, Julien</v>
      </c>
    </row>
    <row r="66" spans="1:3" x14ac:dyDescent="0.25">
      <c r="A66" t="s">
        <v>212</v>
      </c>
      <c r="B66" s="51" t="s">
        <v>197</v>
      </c>
      <c r="C66" s="90" t="str">
        <f>IF(VLOOKUP(B66,'Attestation travaux (devis)'!B64:C136,2,FALSE)&lt;&gt;"",VLOOKUP(B66,'Attestation travaux (devis)'!B64:C136,2,FALSE),"")</f>
        <v/>
      </c>
    </row>
    <row r="67" spans="1:3" x14ac:dyDescent="0.25">
      <c r="A67" s="48" t="s">
        <v>213</v>
      </c>
      <c r="B67" s="48"/>
      <c r="C67" s="106"/>
    </row>
    <row r="68" spans="1:3" x14ac:dyDescent="0.25">
      <c r="A68" t="s">
        <v>93</v>
      </c>
      <c r="B68" s="51" t="s">
        <v>198</v>
      </c>
      <c r="C68" s="90" t="str">
        <f>IF(VLOOKUP(B68,'Attestation travaux (devis)'!B66:C138,2,FALSE)&lt;&gt;"",VLOOKUP(B68,'Attestation travaux (devis)'!B66:C138,2,FALSE),"")</f>
        <v>Aouste-Sur-Sye</v>
      </c>
    </row>
    <row r="69" spans="1:3" x14ac:dyDescent="0.25">
      <c r="A69" t="s">
        <v>209</v>
      </c>
      <c r="B69" s="51" t="s">
        <v>199</v>
      </c>
      <c r="C69" s="109" t="str">
        <f ca="1">TEXT(DAY(Settings!B5),"00")</f>
        <v>02</v>
      </c>
    </row>
    <row r="70" spans="1:3" x14ac:dyDescent="0.25">
      <c r="A70" t="s">
        <v>210</v>
      </c>
      <c r="B70" s="51" t="s">
        <v>200</v>
      </c>
      <c r="C70" s="90" t="str">
        <f ca="1">IF(VLOOKUP(B70,'Attestation travaux (devis)'!B68:C140,2,FALSE)&lt;&gt;"",VLOOKUP(B70,'Attestation travaux (devis)'!B68:C140,2,FALSE),"")</f>
        <v>12</v>
      </c>
    </row>
    <row r="71" spans="1:3" x14ac:dyDescent="0.25">
      <c r="A71" t="s">
        <v>211</v>
      </c>
      <c r="B71" s="51" t="s">
        <v>201</v>
      </c>
      <c r="C71" s="90" t="str">
        <f ca="1">IF(VLOOKUP(B71,'Attestation travaux (devis)'!B69:C141,2,FALSE)&lt;&gt;"",VLOOKUP(B71,'Attestation travaux (devis)'!B69:C141,2,FALSE),"")</f>
        <v>2024</v>
      </c>
    </row>
    <row r="72" spans="1:3" x14ac:dyDescent="0.25">
      <c r="A72" t="s">
        <v>214</v>
      </c>
      <c r="B72" s="51" t="s">
        <v>202</v>
      </c>
      <c r="C72" s="90" t="str">
        <f>IF(VLOOKUP(B72,'Attestation travaux (devis)'!B70:C142,2,FALSE)&lt;&gt;"",VLOOKUP(B72,'Attestation travaux (devis)'!B70:C142,2,FALSE),"")</f>
        <v>DU PELOUX, Lionel</v>
      </c>
    </row>
    <row r="73" spans="1:3" x14ac:dyDescent="0.25">
      <c r="A73" t="s">
        <v>215</v>
      </c>
      <c r="B73" s="51" t="s">
        <v>203</v>
      </c>
      <c r="C73" s="90" t="str">
        <f>IF(VLOOKUP(B73,'Attestation travaux (devis)'!B71:C143,2,FALSE)&lt;&gt;"",VLOOKUP(B73,'Attestation travaux (devis)'!B71:C143,2,FALSE),"")</f>
        <v/>
      </c>
    </row>
    <row r="74" spans="1:3" x14ac:dyDescent="0.25">
      <c r="A74" t="s">
        <v>218</v>
      </c>
      <c r="B74" s="51" t="s">
        <v>204</v>
      </c>
      <c r="C74" s="90" t="str">
        <f>IF(VLOOKUP(B74,'Attestation travaux (devis)'!B72:C144,2,FALSE)&lt;&gt;"",VLOOKUP(B74,'Attestation travaux (devis)'!B72:C144,2,FALSE),"")</f>
        <v>CC DU CRESTOIS ET DU PAYS DE SAILLANS COEUR DE DROME</v>
      </c>
    </row>
    <row r="75" spans="1:3" x14ac:dyDescent="0.25">
      <c r="A75" t="s">
        <v>219</v>
      </c>
      <c r="B75" s="51" t="s">
        <v>205</v>
      </c>
      <c r="C75" s="90" t="str">
        <f>IF(VLOOKUP(B75,'Attestation travaux (devis)'!B73:C145,2,FALSE)&lt;&gt;"",VLOOKUP(B75,'Attestation travaux (devis)'!B73:C145,2,FALSE),"")</f>
        <v>20004050900040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DA9B-3D9E-48C8-97B2-25409F24A160}">
  <dimension ref="A1:D15"/>
  <sheetViews>
    <sheetView workbookViewId="0">
      <selection activeCell="G11" sqref="G11"/>
    </sheetView>
  </sheetViews>
  <sheetFormatPr baseColWidth="10" defaultRowHeight="15" x14ac:dyDescent="0.25"/>
  <cols>
    <col min="1" max="1" width="22" bestFit="1" customWidth="1"/>
    <col min="2" max="2" width="40.7109375" customWidth="1"/>
    <col min="3" max="3" width="19.140625" style="90" bestFit="1" customWidth="1"/>
  </cols>
  <sheetData>
    <row r="1" spans="1:4" ht="15.75" x14ac:dyDescent="0.25">
      <c r="A1" s="87" t="s">
        <v>286</v>
      </c>
      <c r="B1" s="88" t="s">
        <v>276</v>
      </c>
      <c r="C1" s="88"/>
    </row>
    <row r="2" spans="1:4" ht="15.75" x14ac:dyDescent="0.25">
      <c r="A2" s="87" t="s">
        <v>287</v>
      </c>
      <c r="B2" s="88" t="str">
        <f>UPPER(Settings!B12)&amp;"_CONTRAT_AMO_pre.docx"</f>
        <v>COULLET_CONTRAT_AMO_pre.docx</v>
      </c>
      <c r="C2" s="88"/>
    </row>
    <row r="3" spans="1:4" ht="15.75" x14ac:dyDescent="0.25">
      <c r="A3" s="17" t="s">
        <v>283</v>
      </c>
      <c r="B3" s="84" t="s">
        <v>284</v>
      </c>
      <c r="C3" s="102" t="s">
        <v>285</v>
      </c>
    </row>
    <row r="4" spans="1:4" x14ac:dyDescent="0.25">
      <c r="A4" s="48" t="s">
        <v>257</v>
      </c>
      <c r="B4" s="48"/>
      <c r="C4" s="106"/>
    </row>
    <row r="5" spans="1:4" x14ac:dyDescent="0.25">
      <c r="A5" t="s">
        <v>1</v>
      </c>
      <c r="B5" s="51" t="s">
        <v>226</v>
      </c>
      <c r="C5" s="103" t="str">
        <f>Settings!B12</f>
        <v>Coullet</v>
      </c>
    </row>
    <row r="6" spans="1:4" x14ac:dyDescent="0.25">
      <c r="A6" t="s">
        <v>2</v>
      </c>
      <c r="B6" s="51" t="s">
        <v>227</v>
      </c>
      <c r="C6" s="103" t="str">
        <f>Settings!B13</f>
        <v>Julien</v>
      </c>
    </row>
    <row r="7" spans="1:4" x14ac:dyDescent="0.25">
      <c r="A7" t="s">
        <v>17</v>
      </c>
      <c r="B7" s="51" t="s">
        <v>235</v>
      </c>
      <c r="C7" s="103" t="str">
        <f>Settings!B14</f>
        <v>0683383244</v>
      </c>
    </row>
    <row r="8" spans="1:4" x14ac:dyDescent="0.25">
      <c r="A8" t="s">
        <v>293</v>
      </c>
      <c r="B8" s="51" t="s">
        <v>236</v>
      </c>
      <c r="C8" s="110" t="str">
        <f>TEXT(Settings!B15,"")</f>
        <v>e.macron@elysee.fr</v>
      </c>
    </row>
    <row r="9" spans="1:4" x14ac:dyDescent="0.25">
      <c r="A9" t="s">
        <v>7</v>
      </c>
      <c r="B9" s="51" t="s">
        <v>258</v>
      </c>
      <c r="C9" s="90" t="str">
        <f>_xlfn.CONCAT(Settings!B18,", ",Settings!B19)</f>
        <v>147, rue des Liotards</v>
      </c>
    </row>
    <row r="10" spans="1:4" x14ac:dyDescent="0.25">
      <c r="A10" t="s">
        <v>15</v>
      </c>
      <c r="B10" s="51" t="s">
        <v>233</v>
      </c>
      <c r="C10" s="103" t="str">
        <f>Settings!B20</f>
        <v>26150</v>
      </c>
    </row>
    <row r="11" spans="1:4" x14ac:dyDescent="0.25">
      <c r="A11" t="s">
        <v>16</v>
      </c>
      <c r="B11" s="51" t="s">
        <v>234</v>
      </c>
      <c r="C11" s="103" t="str">
        <f>Settings!B21</f>
        <v>Romeyer</v>
      </c>
    </row>
    <row r="12" spans="1:4" x14ac:dyDescent="0.25">
      <c r="A12" t="s">
        <v>93</v>
      </c>
      <c r="B12" s="51" t="s">
        <v>192</v>
      </c>
      <c r="C12" s="103" t="str">
        <f>C11</f>
        <v>Romeyer</v>
      </c>
    </row>
    <row r="13" spans="1:4" x14ac:dyDescent="0.25">
      <c r="A13" t="s">
        <v>94</v>
      </c>
      <c r="B13" s="51" t="s">
        <v>222</v>
      </c>
      <c r="C13" s="112" t="str">
        <f ca="1">TEXT(Settings!B5,"jj/mm/aaaa")</f>
        <v>02/12/2024</v>
      </c>
    </row>
    <row r="14" spans="1:4" x14ac:dyDescent="0.25">
      <c r="A14" t="s">
        <v>93</v>
      </c>
      <c r="B14" s="51" t="s">
        <v>259</v>
      </c>
      <c r="C14" s="103" t="str">
        <f>Settings!B43</f>
        <v>Aouste-Sur-Sye</v>
      </c>
    </row>
    <row r="15" spans="1:4" x14ac:dyDescent="0.25">
      <c r="A15" t="s">
        <v>94</v>
      </c>
      <c r="B15" s="51" t="s">
        <v>260</v>
      </c>
      <c r="C15" s="112" t="str">
        <f ca="1">TEXT(Settings!B5,"jj/mm/aaaa")</f>
        <v>02/12/2024</v>
      </c>
      <c r="D15" s="89"/>
    </row>
  </sheetData>
  <mergeCells count="2">
    <mergeCell ref="B1:C1"/>
    <mergeCell ref="B2:C2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Settings</vt:lpstr>
      <vt:lpstr>Plan de financement</vt:lpstr>
      <vt:lpstr>Attestation CEE</vt:lpstr>
      <vt:lpstr>Attestation travaux (devis)</vt:lpstr>
      <vt:lpstr>Attestation travaux (factures)</vt:lpstr>
      <vt:lpstr>Contrat 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Du PELOUX</dc:creator>
  <cp:lastModifiedBy>Lionel Du PELOUX</cp:lastModifiedBy>
  <dcterms:created xsi:type="dcterms:W3CDTF">2015-06-05T18:19:34Z</dcterms:created>
  <dcterms:modified xsi:type="dcterms:W3CDTF">2024-12-02T12:50:16Z</dcterms:modified>
</cp:coreProperties>
</file>