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ngle\Desktop\VALink整理\"/>
    </mc:Choice>
  </mc:AlternateContent>
  <xr:revisionPtr revIDLastSave="0" documentId="13_ncr:1_{B18067F4-2B56-4114-82D9-85E2D6AC1913}" xr6:coauthVersionLast="47" xr6:coauthVersionMax="47" xr10:uidLastSave="{00000000-0000-0000-0000-000000000000}"/>
  <bookViews>
    <workbookView xWindow="1170" yWindow="-120" windowWidth="27750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78" i="1" l="1"/>
  <c r="F278" i="1"/>
  <c r="G278" i="1"/>
  <c r="E278" i="1"/>
  <c r="D278" i="1"/>
  <c r="AC278" i="1"/>
  <c r="AB278" i="1"/>
  <c r="AD278" i="1"/>
  <c r="AA278" i="1"/>
  <c r="AC245" i="1"/>
  <c r="AD245" i="1"/>
  <c r="AB245" i="1"/>
  <c r="AA245" i="1"/>
  <c r="Z245" i="1"/>
  <c r="AD292" i="1"/>
  <c r="AC292" i="1"/>
  <c r="AB292" i="1"/>
  <c r="AA292" i="1"/>
  <c r="Z292" i="1"/>
  <c r="AD290" i="1"/>
  <c r="AD293" i="1" s="1"/>
  <c r="AC290" i="1"/>
  <c r="AC293" i="1" s="1"/>
  <c r="AB290" i="1"/>
  <c r="AB291" i="1" s="1"/>
  <c r="AH292" i="1" s="1"/>
  <c r="AA290" i="1"/>
  <c r="AA291" i="1" s="1"/>
  <c r="AG292" i="1" s="1"/>
  <c r="Z290" i="1"/>
  <c r="Z291" i="1" s="1"/>
  <c r="Z282" i="1"/>
  <c r="AD281" i="1"/>
  <c r="AC281" i="1"/>
  <c r="AB281" i="1"/>
  <c r="AA281" i="1"/>
  <c r="Z281" i="1"/>
  <c r="AD279" i="1"/>
  <c r="AD280" i="1" s="1"/>
  <c r="AJ281" i="1" s="1"/>
  <c r="AC279" i="1"/>
  <c r="AC280" i="1" s="1"/>
  <c r="AI281" i="1" s="1"/>
  <c r="AB279" i="1"/>
  <c r="AB280" i="1" s="1"/>
  <c r="AA279" i="1"/>
  <c r="AA282" i="1" s="1"/>
  <c r="Z279" i="1"/>
  <c r="Z280" i="1" s="1"/>
  <c r="AP276" i="1"/>
  <c r="AS275" i="1"/>
  <c r="AP275" i="1"/>
  <c r="AQ275" i="1" s="1"/>
  <c r="AS274" i="1"/>
  <c r="AP274" i="1"/>
  <c r="AQ274" i="1" s="1"/>
  <c r="AS273" i="1"/>
  <c r="AP273" i="1"/>
  <c r="AQ273" i="1" s="1"/>
  <c r="AS272" i="1"/>
  <c r="AP272" i="1"/>
  <c r="AQ272" i="1" s="1"/>
  <c r="AP271" i="1"/>
  <c r="AS270" i="1"/>
  <c r="AP270" i="1"/>
  <c r="AQ270" i="1" s="1"/>
  <c r="AD270" i="1"/>
  <c r="AJ270" i="1" s="1"/>
  <c r="AC270" i="1"/>
  <c r="AB270" i="1"/>
  <c r="AA270" i="1"/>
  <c r="Z270" i="1"/>
  <c r="AS269" i="1"/>
  <c r="AQ269" i="1"/>
  <c r="AP269" i="1"/>
  <c r="Z269" i="1"/>
  <c r="AS268" i="1"/>
  <c r="AQ268" i="1"/>
  <c r="AP268" i="1"/>
  <c r="AD268" i="1"/>
  <c r="AD269" i="1" s="1"/>
  <c r="AC268" i="1"/>
  <c r="AC269" i="1" s="1"/>
  <c r="AI270" i="1" s="1"/>
  <c r="AB268" i="1"/>
  <c r="AB269" i="1" s="1"/>
  <c r="AH270" i="1" s="1"/>
  <c r="AA268" i="1"/>
  <c r="AA271" i="1" s="1"/>
  <c r="Z268" i="1"/>
  <c r="Z271" i="1" s="1"/>
  <c r="AS267" i="1"/>
  <c r="AQ267" i="1"/>
  <c r="AP267" i="1"/>
  <c r="AP266" i="1"/>
  <c r="AQ264" i="1" s="1"/>
  <c r="AS265" i="1"/>
  <c r="AP265" i="1"/>
  <c r="AS264" i="1"/>
  <c r="AP264" i="1"/>
  <c r="AS263" i="1"/>
  <c r="AP263" i="1"/>
  <c r="AS262" i="1"/>
  <c r="AP262" i="1"/>
  <c r="AQ262" i="1" s="1"/>
  <c r="AP261" i="1"/>
  <c r="AS260" i="1"/>
  <c r="AP260" i="1"/>
  <c r="AQ260" i="1" s="1"/>
  <c r="AS259" i="1"/>
  <c r="AQ259" i="1"/>
  <c r="AP259" i="1"/>
  <c r="AD259" i="1"/>
  <c r="AC259" i="1"/>
  <c r="AB259" i="1"/>
  <c r="AA259" i="1"/>
  <c r="Z259" i="1"/>
  <c r="AS258" i="1"/>
  <c r="AP258" i="1"/>
  <c r="AQ258" i="1" s="1"/>
  <c r="AS257" i="1"/>
  <c r="AP257" i="1"/>
  <c r="AQ257" i="1" s="1"/>
  <c r="AD257" i="1"/>
  <c r="AD260" i="1" s="1"/>
  <c r="AC257" i="1"/>
  <c r="AC260" i="1" s="1"/>
  <c r="AB257" i="1"/>
  <c r="AB258" i="1" s="1"/>
  <c r="AA257" i="1"/>
  <c r="AA258" i="1" s="1"/>
  <c r="Z257" i="1"/>
  <c r="Z258" i="1" s="1"/>
  <c r="AF259" i="1" s="1"/>
  <c r="AP256" i="1"/>
  <c r="AQ254" i="1" s="1"/>
  <c r="AS255" i="1"/>
  <c r="AP255" i="1"/>
  <c r="AS254" i="1"/>
  <c r="AP254" i="1"/>
  <c r="AS253" i="1"/>
  <c r="AP253" i="1"/>
  <c r="AS252" i="1"/>
  <c r="AP252" i="1"/>
  <c r="AQ252" i="1" s="1"/>
  <c r="AP251" i="1"/>
  <c r="AS250" i="1"/>
  <c r="AP250" i="1"/>
  <c r="AQ250" i="1" s="1"/>
  <c r="AS249" i="1"/>
  <c r="AP249" i="1"/>
  <c r="AQ249" i="1" s="1"/>
  <c r="AS248" i="1"/>
  <c r="AP248" i="1"/>
  <c r="AQ248" i="1" s="1"/>
  <c r="AD248" i="1"/>
  <c r="AC248" i="1"/>
  <c r="AB248" i="1"/>
  <c r="AA248" i="1"/>
  <c r="Z248" i="1"/>
  <c r="AS247" i="1"/>
  <c r="AQ247" i="1"/>
  <c r="AP247" i="1"/>
  <c r="AA247" i="1"/>
  <c r="AG248" i="1" s="1"/>
  <c r="AP246" i="1"/>
  <c r="AD246" i="1"/>
  <c r="AD247" i="1" s="1"/>
  <c r="AJ248" i="1" s="1"/>
  <c r="AC246" i="1"/>
  <c r="AC247" i="1" s="1"/>
  <c r="AI248" i="1" s="1"/>
  <c r="AB246" i="1"/>
  <c r="AB249" i="1" s="1"/>
  <c r="AA246" i="1"/>
  <c r="AA249" i="1" s="1"/>
  <c r="Z246" i="1"/>
  <c r="Z249" i="1" s="1"/>
  <c r="AS245" i="1"/>
  <c r="AP245" i="1"/>
  <c r="AQ245" i="1" s="1"/>
  <c r="AS244" i="1"/>
  <c r="AP244" i="1"/>
  <c r="AQ244" i="1" s="1"/>
  <c r="AS243" i="1"/>
  <c r="AQ243" i="1"/>
  <c r="AP243" i="1"/>
  <c r="AS242" i="1"/>
  <c r="AP242" i="1"/>
  <c r="AQ242" i="1" s="1"/>
  <c r="V253" i="1"/>
  <c r="V275" i="1"/>
  <c r="V274" i="1"/>
  <c r="V273" i="1"/>
  <c r="V272" i="1"/>
  <c r="V270" i="1"/>
  <c r="V269" i="1"/>
  <c r="V268" i="1"/>
  <c r="V267" i="1"/>
  <c r="V265" i="1"/>
  <c r="V264" i="1"/>
  <c r="V263" i="1"/>
  <c r="V262" i="1"/>
  <c r="V260" i="1"/>
  <c r="V259" i="1"/>
  <c r="V258" i="1"/>
  <c r="V257" i="1"/>
  <c r="V255" i="1"/>
  <c r="V254" i="1"/>
  <c r="V252" i="1"/>
  <c r="V250" i="1"/>
  <c r="V249" i="1"/>
  <c r="V248" i="1"/>
  <c r="V247" i="1"/>
  <c r="V245" i="1"/>
  <c r="V244" i="1"/>
  <c r="V243" i="1"/>
  <c r="V242" i="1"/>
  <c r="T272" i="1"/>
  <c r="T252" i="1"/>
  <c r="S276" i="1"/>
  <c r="S275" i="1"/>
  <c r="T275" i="1" s="1"/>
  <c r="S274" i="1"/>
  <c r="T274" i="1" s="1"/>
  <c r="S273" i="1"/>
  <c r="T273" i="1" s="1"/>
  <c r="S272" i="1"/>
  <c r="S271" i="1"/>
  <c r="S270" i="1"/>
  <c r="T270" i="1" s="1"/>
  <c r="S269" i="1"/>
  <c r="T269" i="1" s="1"/>
  <c r="S268" i="1"/>
  <c r="T268" i="1" s="1"/>
  <c r="S267" i="1"/>
  <c r="T267" i="1" s="1"/>
  <c r="S266" i="1"/>
  <c r="T265" i="1" s="1"/>
  <c r="S265" i="1"/>
  <c r="S264" i="1"/>
  <c r="S263" i="1"/>
  <c r="T263" i="1" s="1"/>
  <c r="S262" i="1"/>
  <c r="T262" i="1" s="1"/>
  <c r="S261" i="1"/>
  <c r="S260" i="1"/>
  <c r="T260" i="1" s="1"/>
  <c r="S259" i="1"/>
  <c r="T259" i="1" s="1"/>
  <c r="S258" i="1"/>
  <c r="T258" i="1" s="1"/>
  <c r="S257" i="1"/>
  <c r="T257" i="1" s="1"/>
  <c r="S256" i="1"/>
  <c r="S255" i="1"/>
  <c r="T255" i="1" s="1"/>
  <c r="S254" i="1"/>
  <c r="T254" i="1" s="1"/>
  <c r="S253" i="1"/>
  <c r="T253" i="1" s="1"/>
  <c r="S252" i="1"/>
  <c r="S251" i="1"/>
  <c r="S250" i="1"/>
  <c r="T250" i="1" s="1"/>
  <c r="S249" i="1"/>
  <c r="S248" i="1"/>
  <c r="T248" i="1" s="1"/>
  <c r="S247" i="1"/>
  <c r="T247" i="1" s="1"/>
  <c r="S246" i="1"/>
  <c r="S245" i="1"/>
  <c r="T245" i="1" s="1"/>
  <c r="S244" i="1"/>
  <c r="S243" i="1"/>
  <c r="T243" i="1" s="1"/>
  <c r="S242" i="1"/>
  <c r="T242" i="1" s="1"/>
  <c r="C289" i="1"/>
  <c r="E245" i="1"/>
  <c r="F245" i="1"/>
  <c r="D245" i="1"/>
  <c r="C245" i="1"/>
  <c r="G245" i="1"/>
  <c r="G292" i="1"/>
  <c r="F292" i="1"/>
  <c r="E292" i="1"/>
  <c r="D292" i="1"/>
  <c r="C292" i="1"/>
  <c r="G290" i="1"/>
  <c r="G293" i="1" s="1"/>
  <c r="F290" i="1"/>
  <c r="F293" i="1" s="1"/>
  <c r="E290" i="1"/>
  <c r="E293" i="1" s="1"/>
  <c r="D290" i="1"/>
  <c r="D291" i="1" s="1"/>
  <c r="J292" i="1" s="1"/>
  <c r="C290" i="1"/>
  <c r="C293" i="1" s="1"/>
  <c r="G281" i="1"/>
  <c r="F281" i="1"/>
  <c r="E281" i="1"/>
  <c r="D281" i="1"/>
  <c r="C281" i="1"/>
  <c r="G279" i="1"/>
  <c r="G282" i="1" s="1"/>
  <c r="F279" i="1"/>
  <c r="F282" i="1" s="1"/>
  <c r="E279" i="1"/>
  <c r="E280" i="1" s="1"/>
  <c r="K281" i="1" s="1"/>
  <c r="D279" i="1"/>
  <c r="D280" i="1" s="1"/>
  <c r="J281" i="1" s="1"/>
  <c r="C279" i="1"/>
  <c r="C280" i="1" s="1"/>
  <c r="G270" i="1"/>
  <c r="F270" i="1"/>
  <c r="E270" i="1"/>
  <c r="D270" i="1"/>
  <c r="C270" i="1"/>
  <c r="G268" i="1"/>
  <c r="G271" i="1" s="1"/>
  <c r="F268" i="1"/>
  <c r="F269" i="1" s="1"/>
  <c r="E268" i="1"/>
  <c r="E269" i="1" s="1"/>
  <c r="D268" i="1"/>
  <c r="D269" i="1" s="1"/>
  <c r="C268" i="1"/>
  <c r="C269" i="1" s="1"/>
  <c r="G259" i="1"/>
  <c r="F259" i="1"/>
  <c r="E259" i="1"/>
  <c r="D259" i="1"/>
  <c r="C259" i="1"/>
  <c r="G257" i="1"/>
  <c r="G260" i="1" s="1"/>
  <c r="F257" i="1"/>
  <c r="F258" i="1" s="1"/>
  <c r="E257" i="1"/>
  <c r="E258" i="1" s="1"/>
  <c r="K259" i="1" s="1"/>
  <c r="D257" i="1"/>
  <c r="D258" i="1" s="1"/>
  <c r="C257" i="1"/>
  <c r="C258" i="1" s="1"/>
  <c r="G248" i="1"/>
  <c r="F248" i="1"/>
  <c r="E248" i="1"/>
  <c r="D248" i="1"/>
  <c r="C248" i="1"/>
  <c r="G246" i="1"/>
  <c r="G249" i="1" s="1"/>
  <c r="F246" i="1"/>
  <c r="F247" i="1" s="1"/>
  <c r="E246" i="1"/>
  <c r="E249" i="1" s="1"/>
  <c r="D246" i="1"/>
  <c r="D249" i="1" s="1"/>
  <c r="C246" i="1"/>
  <c r="C247" i="1" s="1"/>
  <c r="D343" i="1"/>
  <c r="E343" i="1"/>
  <c r="F343" i="1"/>
  <c r="G343" i="1"/>
  <c r="D341" i="1"/>
  <c r="D344" i="1" s="1"/>
  <c r="E341" i="1"/>
  <c r="E342" i="1" s="1"/>
  <c r="K343" i="1" s="1"/>
  <c r="F341" i="1"/>
  <c r="F342" i="1" s="1"/>
  <c r="L343" i="1" s="1"/>
  <c r="G341" i="1"/>
  <c r="G344" i="1" s="1"/>
  <c r="G340" i="1"/>
  <c r="F340" i="1"/>
  <c r="D340" i="1"/>
  <c r="E340" i="1"/>
  <c r="C343" i="1"/>
  <c r="C341" i="1"/>
  <c r="C342" i="1" s="1"/>
  <c r="I343" i="1" s="1"/>
  <c r="C340" i="1"/>
  <c r="G332" i="1"/>
  <c r="F332" i="1"/>
  <c r="E332" i="1"/>
  <c r="D332" i="1"/>
  <c r="C332" i="1"/>
  <c r="G330" i="1"/>
  <c r="G333" i="1" s="1"/>
  <c r="F330" i="1"/>
  <c r="F331" i="1" s="1"/>
  <c r="E330" i="1"/>
  <c r="E333" i="1" s="1"/>
  <c r="D330" i="1"/>
  <c r="D331" i="1" s="1"/>
  <c r="C330" i="1"/>
  <c r="C333" i="1" s="1"/>
  <c r="G329" i="1"/>
  <c r="F329" i="1"/>
  <c r="E329" i="1"/>
  <c r="D329" i="1"/>
  <c r="C329" i="1"/>
  <c r="E322" i="1"/>
  <c r="G321" i="1"/>
  <c r="F321" i="1"/>
  <c r="E321" i="1"/>
  <c r="D321" i="1"/>
  <c r="C321" i="1"/>
  <c r="E320" i="1"/>
  <c r="D320" i="1"/>
  <c r="J321" i="1" s="1"/>
  <c r="G319" i="1"/>
  <c r="G320" i="1" s="1"/>
  <c r="F319" i="1"/>
  <c r="F322" i="1" s="1"/>
  <c r="E319" i="1"/>
  <c r="D319" i="1"/>
  <c r="D322" i="1" s="1"/>
  <c r="C319" i="1"/>
  <c r="C322" i="1" s="1"/>
  <c r="G318" i="1"/>
  <c r="F318" i="1"/>
  <c r="E318" i="1"/>
  <c r="D318" i="1"/>
  <c r="C318" i="1"/>
  <c r="G310" i="1"/>
  <c r="F310" i="1"/>
  <c r="E310" i="1"/>
  <c r="E307" i="1" s="1"/>
  <c r="D310" i="1"/>
  <c r="C310" i="1"/>
  <c r="D309" i="1"/>
  <c r="G308" i="1"/>
  <c r="G311" i="1" s="1"/>
  <c r="F308" i="1"/>
  <c r="F311" i="1" s="1"/>
  <c r="D308" i="1"/>
  <c r="D311" i="1" s="1"/>
  <c r="C308" i="1"/>
  <c r="C311" i="1" s="1"/>
  <c r="G307" i="1"/>
  <c r="F307" i="1"/>
  <c r="F313" i="1" s="1"/>
  <c r="D307" i="1"/>
  <c r="C307" i="1"/>
  <c r="F306" i="1"/>
  <c r="E306" i="1"/>
  <c r="E304" i="1" s="1"/>
  <c r="E305" i="1"/>
  <c r="E308" i="1" s="1"/>
  <c r="P164" i="1"/>
  <c r="Q164" i="1"/>
  <c r="R164" i="1"/>
  <c r="S164" i="1"/>
  <c r="P163" i="1"/>
  <c r="Q163" i="1"/>
  <c r="R163" i="1"/>
  <c r="S163" i="1"/>
  <c r="P162" i="1"/>
  <c r="Q162" i="1"/>
  <c r="R162" i="1"/>
  <c r="S162" i="1"/>
  <c r="P161" i="1"/>
  <c r="Q161" i="1"/>
  <c r="R161" i="1"/>
  <c r="S161" i="1"/>
  <c r="P160" i="1"/>
  <c r="Q160" i="1"/>
  <c r="R160" i="1"/>
  <c r="S160" i="1"/>
  <c r="P159" i="1"/>
  <c r="Q159" i="1"/>
  <c r="R159" i="1"/>
  <c r="S159" i="1"/>
  <c r="S158" i="1"/>
  <c r="P158" i="1"/>
  <c r="Q158" i="1"/>
  <c r="R158" i="1"/>
  <c r="O164" i="1"/>
  <c r="O163" i="1"/>
  <c r="O162" i="1"/>
  <c r="O161" i="1"/>
  <c r="O160" i="1"/>
  <c r="O159" i="1"/>
  <c r="O158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15" i="1"/>
  <c r="W131" i="1"/>
  <c r="W155" i="1"/>
  <c r="W154" i="1"/>
  <c r="W153" i="1"/>
  <c r="W152" i="1"/>
  <c r="W151" i="1"/>
  <c r="W149" i="1"/>
  <c r="W148" i="1"/>
  <c r="W147" i="1"/>
  <c r="W146" i="1"/>
  <c r="W145" i="1"/>
  <c r="W143" i="1"/>
  <c r="W142" i="1"/>
  <c r="W141" i="1"/>
  <c r="W140" i="1"/>
  <c r="W139" i="1"/>
  <c r="W137" i="1"/>
  <c r="W136" i="1"/>
  <c r="W135" i="1"/>
  <c r="W134" i="1"/>
  <c r="W133" i="1"/>
  <c r="W130" i="1"/>
  <c r="W129" i="1"/>
  <c r="W128" i="1"/>
  <c r="W127" i="1"/>
  <c r="W125" i="1"/>
  <c r="W124" i="1"/>
  <c r="W123" i="1"/>
  <c r="W122" i="1"/>
  <c r="W121" i="1"/>
  <c r="W119" i="1"/>
  <c r="W118" i="1"/>
  <c r="W117" i="1"/>
  <c r="W116" i="1"/>
  <c r="W115" i="1"/>
  <c r="V218" i="1"/>
  <c r="V217" i="1"/>
  <c r="V216" i="1"/>
  <c r="V215" i="1"/>
  <c r="V213" i="1"/>
  <c r="V212" i="1"/>
  <c r="V211" i="1"/>
  <c r="V210" i="1"/>
  <c r="V208" i="1"/>
  <c r="V207" i="1"/>
  <c r="V206" i="1"/>
  <c r="V205" i="1"/>
  <c r="V203" i="1"/>
  <c r="V202" i="1"/>
  <c r="V201" i="1"/>
  <c r="V200" i="1"/>
  <c r="V198" i="1"/>
  <c r="V197" i="1"/>
  <c r="V196" i="1"/>
  <c r="V195" i="1"/>
  <c r="V193" i="1"/>
  <c r="V192" i="1"/>
  <c r="V191" i="1"/>
  <c r="V190" i="1"/>
  <c r="V188" i="1"/>
  <c r="V187" i="1"/>
  <c r="V186" i="1"/>
  <c r="V185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184" i="1"/>
  <c r="D198" i="1"/>
  <c r="D187" i="1"/>
  <c r="C187" i="1"/>
  <c r="E190" i="1"/>
  <c r="G354" i="1"/>
  <c r="F354" i="1"/>
  <c r="E354" i="1"/>
  <c r="D354" i="1"/>
  <c r="C354" i="1"/>
  <c r="G352" i="1"/>
  <c r="G355" i="1" s="1"/>
  <c r="F352" i="1"/>
  <c r="F355" i="1" s="1"/>
  <c r="E352" i="1"/>
  <c r="E353" i="1" s="1"/>
  <c r="D352" i="1"/>
  <c r="D353" i="1" s="1"/>
  <c r="C352" i="1"/>
  <c r="C353" i="1" s="1"/>
  <c r="G351" i="1"/>
  <c r="F351" i="1"/>
  <c r="E351" i="1"/>
  <c r="D351" i="1"/>
  <c r="C351" i="1"/>
  <c r="AB220" i="1"/>
  <c r="AB198" i="1"/>
  <c r="AJ188" i="1"/>
  <c r="AI188" i="1"/>
  <c r="AE210" i="1"/>
  <c r="AE211" i="1" s="1"/>
  <c r="AE212" i="1"/>
  <c r="AD223" i="1"/>
  <c r="AD221" i="1"/>
  <c r="AD222" i="1" s="1"/>
  <c r="AD212" i="1"/>
  <c r="AD210" i="1"/>
  <c r="AD213" i="1" s="1"/>
  <c r="AD190" i="1"/>
  <c r="AD188" i="1"/>
  <c r="AD189" i="1" s="1"/>
  <c r="AD201" i="1"/>
  <c r="AD199" i="1"/>
  <c r="AD202" i="1" s="1"/>
  <c r="AE223" i="1"/>
  <c r="AE221" i="1"/>
  <c r="AE222" i="1" s="1"/>
  <c r="AW227" i="1"/>
  <c r="AW226" i="1"/>
  <c r="AV198" i="1"/>
  <c r="AV220" i="1"/>
  <c r="AR187" i="1"/>
  <c r="AS187" i="1"/>
  <c r="AT187" i="1"/>
  <c r="AR188" i="1"/>
  <c r="AS188" i="1"/>
  <c r="AS189" i="1" s="1"/>
  <c r="AT188" i="1"/>
  <c r="AT191" i="1" s="1"/>
  <c r="AC118" i="1"/>
  <c r="AC129" i="1"/>
  <c r="AF121" i="1"/>
  <c r="AE121" i="1"/>
  <c r="AD121" i="1"/>
  <c r="AC121" i="1"/>
  <c r="AB121" i="1"/>
  <c r="AF119" i="1"/>
  <c r="AF122" i="1" s="1"/>
  <c r="AE119" i="1"/>
  <c r="AC119" i="1"/>
  <c r="AB119" i="1"/>
  <c r="AB122" i="1" s="1"/>
  <c r="AF118" i="1"/>
  <c r="AD118" i="1"/>
  <c r="AB118" i="1"/>
  <c r="AE117" i="1"/>
  <c r="AE115" i="1" s="1"/>
  <c r="AD117" i="1"/>
  <c r="AD116" i="1"/>
  <c r="AD119" i="1" s="1"/>
  <c r="AG169" i="1"/>
  <c r="AG168" i="1"/>
  <c r="AG167" i="1"/>
  <c r="AF165" i="1"/>
  <c r="AE165" i="1"/>
  <c r="AD165" i="1"/>
  <c r="AC165" i="1"/>
  <c r="AB165" i="1"/>
  <c r="AF163" i="1"/>
  <c r="AF166" i="1" s="1"/>
  <c r="AE163" i="1"/>
  <c r="AE166" i="1" s="1"/>
  <c r="AD163" i="1"/>
  <c r="AD166" i="1" s="1"/>
  <c r="AC163" i="1"/>
  <c r="AC166" i="1" s="1"/>
  <c r="AB163" i="1"/>
  <c r="AB164" i="1" s="1"/>
  <c r="AF162" i="1"/>
  <c r="AE162" i="1"/>
  <c r="AD162" i="1"/>
  <c r="AC162" i="1"/>
  <c r="AB162" i="1"/>
  <c r="AG161" i="1"/>
  <c r="AG160" i="1"/>
  <c r="AG159" i="1"/>
  <c r="AF154" i="1"/>
  <c r="AE154" i="1"/>
  <c r="AD154" i="1"/>
  <c r="AC154" i="1"/>
  <c r="AB154" i="1"/>
  <c r="AF152" i="1"/>
  <c r="AF155" i="1" s="1"/>
  <c r="AE152" i="1"/>
  <c r="AE155" i="1" s="1"/>
  <c r="AD152" i="1"/>
  <c r="AD155" i="1" s="1"/>
  <c r="AC152" i="1"/>
  <c r="AC155" i="1" s="1"/>
  <c r="AB152" i="1"/>
  <c r="AB155" i="1" s="1"/>
  <c r="AF151" i="1"/>
  <c r="AE151" i="1"/>
  <c r="AD151" i="1"/>
  <c r="AC151" i="1"/>
  <c r="AG150" i="1"/>
  <c r="AG149" i="1"/>
  <c r="AG148" i="1"/>
  <c r="AG147" i="1"/>
  <c r="AG146" i="1"/>
  <c r="AG145" i="1"/>
  <c r="AF143" i="1"/>
  <c r="AE143" i="1"/>
  <c r="AD143" i="1"/>
  <c r="AC143" i="1"/>
  <c r="AB143" i="1"/>
  <c r="AF141" i="1"/>
  <c r="AF144" i="1" s="1"/>
  <c r="AE141" i="1"/>
  <c r="AE142" i="1" s="1"/>
  <c r="AD141" i="1"/>
  <c r="AD142" i="1" s="1"/>
  <c r="AC141" i="1"/>
  <c r="AC144" i="1" s="1"/>
  <c r="AB141" i="1"/>
  <c r="AB144" i="1" s="1"/>
  <c r="AF140" i="1"/>
  <c r="AE140" i="1"/>
  <c r="AD140" i="1"/>
  <c r="AC140" i="1"/>
  <c r="AB140" i="1"/>
  <c r="AG139" i="1"/>
  <c r="AG138" i="1"/>
  <c r="AG137" i="1"/>
  <c r="AG136" i="1"/>
  <c r="AG135" i="1"/>
  <c r="AG134" i="1"/>
  <c r="AF132" i="1"/>
  <c r="AE132" i="1"/>
  <c r="AD132" i="1"/>
  <c r="AC132" i="1"/>
  <c r="AB132" i="1"/>
  <c r="AF130" i="1"/>
  <c r="AF133" i="1" s="1"/>
  <c r="AE130" i="1"/>
  <c r="AE133" i="1" s="1"/>
  <c r="AD130" i="1"/>
  <c r="AD133" i="1" s="1"/>
  <c r="AC130" i="1"/>
  <c r="AC133" i="1" s="1"/>
  <c r="AB130" i="1"/>
  <c r="AB133" i="1" s="1"/>
  <c r="AF129" i="1"/>
  <c r="AE129" i="1"/>
  <c r="AD129" i="1"/>
  <c r="AB129" i="1"/>
  <c r="AG128" i="1"/>
  <c r="AG127" i="1"/>
  <c r="AG126" i="1"/>
  <c r="AV209" i="1"/>
  <c r="AV187" i="1"/>
  <c r="AW217" i="1"/>
  <c r="AU185" i="1"/>
  <c r="AU184" i="1" s="1"/>
  <c r="AW184" i="1" s="1"/>
  <c r="AS198" i="1"/>
  <c r="AS204" i="1" s="1"/>
  <c r="AW204" i="1" s="1"/>
  <c r="AS209" i="1"/>
  <c r="AS220" i="1"/>
  <c r="AU198" i="1"/>
  <c r="AU220" i="1"/>
  <c r="AU209" i="1"/>
  <c r="AR209" i="1"/>
  <c r="AR212" i="1"/>
  <c r="AR210" i="1"/>
  <c r="AR211" i="1" s="1"/>
  <c r="AT223" i="1"/>
  <c r="AT221" i="1"/>
  <c r="AT222" i="1" s="1"/>
  <c r="AT220" i="1"/>
  <c r="AR223" i="1"/>
  <c r="AR221" i="1"/>
  <c r="AR222" i="1" s="1"/>
  <c r="AR220" i="1"/>
  <c r="AT198" i="1"/>
  <c r="AR198" i="1"/>
  <c r="AT209" i="1"/>
  <c r="AU187" i="1"/>
  <c r="AW225" i="1"/>
  <c r="AV223" i="1"/>
  <c r="AU223" i="1"/>
  <c r="AS223" i="1"/>
  <c r="AV221" i="1"/>
  <c r="AV224" i="1" s="1"/>
  <c r="AU221" i="1"/>
  <c r="AU222" i="1" s="1"/>
  <c r="AS221" i="1"/>
  <c r="AS224" i="1" s="1"/>
  <c r="AW219" i="1"/>
  <c r="AW218" i="1"/>
  <c r="AW216" i="1"/>
  <c r="AW215" i="1"/>
  <c r="AW214" i="1"/>
  <c r="AV212" i="1"/>
  <c r="AU212" i="1"/>
  <c r="AT212" i="1"/>
  <c r="AS212" i="1"/>
  <c r="AV210" i="1"/>
  <c r="AV213" i="1" s="1"/>
  <c r="AU210" i="1"/>
  <c r="AU213" i="1" s="1"/>
  <c r="AT210" i="1"/>
  <c r="AT213" i="1" s="1"/>
  <c r="AS210" i="1"/>
  <c r="AS211" i="1" s="1"/>
  <c r="AW208" i="1"/>
  <c r="AW207" i="1"/>
  <c r="AW206" i="1"/>
  <c r="AV201" i="1"/>
  <c r="AU201" i="1"/>
  <c r="AT201" i="1"/>
  <c r="AS201" i="1"/>
  <c r="AR201" i="1"/>
  <c r="AV199" i="1"/>
  <c r="AV202" i="1" s="1"/>
  <c r="AU199" i="1"/>
  <c r="AU200" i="1" s="1"/>
  <c r="AT199" i="1"/>
  <c r="AT200" i="1" s="1"/>
  <c r="AS199" i="1"/>
  <c r="AS202" i="1" s="1"/>
  <c r="AR199" i="1"/>
  <c r="AR202" i="1" s="1"/>
  <c r="AW197" i="1"/>
  <c r="AW196" i="1"/>
  <c r="AW195" i="1"/>
  <c r="AW194" i="1"/>
  <c r="AW193" i="1"/>
  <c r="AW192" i="1"/>
  <c r="AV190" i="1"/>
  <c r="AU190" i="1"/>
  <c r="AT190" i="1"/>
  <c r="AS190" i="1"/>
  <c r="AR190" i="1"/>
  <c r="AV188" i="1"/>
  <c r="AV191" i="1" s="1"/>
  <c r="AW186" i="1"/>
  <c r="AF210" i="1"/>
  <c r="AF213" i="1" s="1"/>
  <c r="AC221" i="1"/>
  <c r="AC222" i="1" s="1"/>
  <c r="AB221" i="1"/>
  <c r="AG227" i="1"/>
  <c r="AG226" i="1"/>
  <c r="AG225" i="1"/>
  <c r="AF212" i="1"/>
  <c r="AC223" i="1"/>
  <c r="AB223" i="1"/>
  <c r="AG219" i="1"/>
  <c r="AG218" i="1"/>
  <c r="AG217" i="1"/>
  <c r="AF223" i="1"/>
  <c r="AC212" i="1"/>
  <c r="AB212" i="1"/>
  <c r="AF221" i="1"/>
  <c r="AF222" i="1" s="1"/>
  <c r="AC210" i="1"/>
  <c r="AC211" i="1" s="1"/>
  <c r="AB210" i="1"/>
  <c r="AG208" i="1"/>
  <c r="AG207" i="1"/>
  <c r="AG206" i="1"/>
  <c r="AF201" i="1"/>
  <c r="AE201" i="1"/>
  <c r="AC201" i="1"/>
  <c r="AB201" i="1"/>
  <c r="AF199" i="1"/>
  <c r="AE199" i="1"/>
  <c r="AE202" i="1" s="1"/>
  <c r="AC199" i="1"/>
  <c r="AC202" i="1" s="1"/>
  <c r="AB199" i="1"/>
  <c r="AB200" i="1" s="1"/>
  <c r="AG197" i="1"/>
  <c r="AG196" i="1"/>
  <c r="AG195" i="1"/>
  <c r="AG194" i="1"/>
  <c r="AG193" i="1"/>
  <c r="AG192" i="1"/>
  <c r="AF190" i="1"/>
  <c r="AE190" i="1"/>
  <c r="AC190" i="1"/>
  <c r="AB190" i="1"/>
  <c r="AF188" i="1"/>
  <c r="AF189" i="1" s="1"/>
  <c r="AE188" i="1"/>
  <c r="AE189" i="1" s="1"/>
  <c r="AC188" i="1"/>
  <c r="AC189" i="1" s="1"/>
  <c r="AB188" i="1"/>
  <c r="AB189" i="1" s="1"/>
  <c r="AG186" i="1"/>
  <c r="AG185" i="1"/>
  <c r="AG184" i="1"/>
  <c r="E186" i="1"/>
  <c r="E185" i="1"/>
  <c r="F186" i="1"/>
  <c r="F199" i="1"/>
  <c r="F200" i="1" s="1"/>
  <c r="F210" i="1"/>
  <c r="F213" i="1" s="1"/>
  <c r="F221" i="1"/>
  <c r="F224" i="1" s="1"/>
  <c r="F232" i="1"/>
  <c r="F233" i="1" s="1"/>
  <c r="F188" i="1"/>
  <c r="G190" i="1"/>
  <c r="G188" i="1"/>
  <c r="G189" i="1" s="1"/>
  <c r="F190" i="1"/>
  <c r="D190" i="1"/>
  <c r="D188" i="1"/>
  <c r="D189" i="1" s="1"/>
  <c r="C190" i="1"/>
  <c r="C188" i="1"/>
  <c r="C191" i="1" s="1"/>
  <c r="G187" i="1"/>
  <c r="D220" i="1"/>
  <c r="F220" i="1"/>
  <c r="F198" i="1"/>
  <c r="E198" i="1"/>
  <c r="E220" i="1"/>
  <c r="G220" i="1"/>
  <c r="G198" i="1"/>
  <c r="C198" i="1"/>
  <c r="G209" i="1"/>
  <c r="F209" i="1"/>
  <c r="E209" i="1"/>
  <c r="D209" i="1"/>
  <c r="C209" i="1"/>
  <c r="G201" i="1"/>
  <c r="F201" i="1"/>
  <c r="E201" i="1"/>
  <c r="D201" i="1"/>
  <c r="C201" i="1"/>
  <c r="G199" i="1"/>
  <c r="G200" i="1" s="1"/>
  <c r="E199" i="1"/>
  <c r="E200" i="1" s="1"/>
  <c r="D199" i="1"/>
  <c r="D200" i="1" s="1"/>
  <c r="C199" i="1"/>
  <c r="C202" i="1" s="1"/>
  <c r="G234" i="1"/>
  <c r="F234" i="1"/>
  <c r="E234" i="1"/>
  <c r="D234" i="1"/>
  <c r="C234" i="1"/>
  <c r="G232" i="1"/>
  <c r="G233" i="1" s="1"/>
  <c r="E232" i="1"/>
  <c r="E233" i="1" s="1"/>
  <c r="D232" i="1"/>
  <c r="D235" i="1" s="1"/>
  <c r="C232" i="1"/>
  <c r="C235" i="1" s="1"/>
  <c r="G231" i="1"/>
  <c r="F231" i="1"/>
  <c r="E231" i="1"/>
  <c r="D231" i="1"/>
  <c r="C231" i="1"/>
  <c r="G223" i="1"/>
  <c r="F223" i="1"/>
  <c r="E223" i="1"/>
  <c r="D223" i="1"/>
  <c r="C223" i="1"/>
  <c r="G221" i="1"/>
  <c r="G222" i="1" s="1"/>
  <c r="E221" i="1"/>
  <c r="E222" i="1" s="1"/>
  <c r="D221" i="1"/>
  <c r="D222" i="1" s="1"/>
  <c r="C221" i="1"/>
  <c r="C222" i="1" s="1"/>
  <c r="G212" i="1"/>
  <c r="F212" i="1"/>
  <c r="E212" i="1"/>
  <c r="D212" i="1"/>
  <c r="C212" i="1"/>
  <c r="G210" i="1"/>
  <c r="G211" i="1" s="1"/>
  <c r="E210" i="1"/>
  <c r="E211" i="1" s="1"/>
  <c r="D210" i="1"/>
  <c r="D211" i="1" s="1"/>
  <c r="C210" i="1"/>
  <c r="C211" i="1" s="1"/>
  <c r="G173" i="1"/>
  <c r="E157" i="1"/>
  <c r="C157" i="1"/>
  <c r="D148" i="1"/>
  <c r="G148" i="1"/>
  <c r="F148" i="1"/>
  <c r="G176" i="1"/>
  <c r="F176" i="1"/>
  <c r="E176" i="1"/>
  <c r="D176" i="1"/>
  <c r="C176" i="1"/>
  <c r="G174" i="1"/>
  <c r="G177" i="1" s="1"/>
  <c r="F174" i="1"/>
  <c r="F177" i="1" s="1"/>
  <c r="E174" i="1"/>
  <c r="E177" i="1" s="1"/>
  <c r="D174" i="1"/>
  <c r="D175" i="1" s="1"/>
  <c r="C174" i="1"/>
  <c r="C175" i="1" s="1"/>
  <c r="G165" i="1"/>
  <c r="F165" i="1"/>
  <c r="E165" i="1"/>
  <c r="D165" i="1"/>
  <c r="C165" i="1"/>
  <c r="G163" i="1"/>
  <c r="G164" i="1" s="1"/>
  <c r="F163" i="1"/>
  <c r="F166" i="1" s="1"/>
  <c r="E163" i="1"/>
  <c r="E166" i="1" s="1"/>
  <c r="D163" i="1"/>
  <c r="D166" i="1" s="1"/>
  <c r="C163" i="1"/>
  <c r="C166" i="1" s="1"/>
  <c r="G154" i="1"/>
  <c r="F154" i="1"/>
  <c r="E154" i="1"/>
  <c r="D154" i="1"/>
  <c r="C154" i="1"/>
  <c r="G152" i="1"/>
  <c r="G155" i="1" s="1"/>
  <c r="F152" i="1"/>
  <c r="F155" i="1" s="1"/>
  <c r="E152" i="1"/>
  <c r="E155" i="1" s="1"/>
  <c r="D152" i="1"/>
  <c r="D153" i="1" s="1"/>
  <c r="C152" i="1"/>
  <c r="C153" i="1" s="1"/>
  <c r="G143" i="1"/>
  <c r="F143" i="1"/>
  <c r="E143" i="1"/>
  <c r="D143" i="1"/>
  <c r="C143" i="1"/>
  <c r="G141" i="1"/>
  <c r="G142" i="1" s="1"/>
  <c r="F141" i="1"/>
  <c r="F144" i="1" s="1"/>
  <c r="E141" i="1"/>
  <c r="E144" i="1" s="1"/>
  <c r="D141" i="1"/>
  <c r="D142" i="1" s="1"/>
  <c r="C141" i="1"/>
  <c r="C144" i="1" s="1"/>
  <c r="G132" i="1"/>
  <c r="F132" i="1"/>
  <c r="E132" i="1"/>
  <c r="D132" i="1"/>
  <c r="C132" i="1"/>
  <c r="G130" i="1"/>
  <c r="G133" i="1" s="1"/>
  <c r="F130" i="1"/>
  <c r="F133" i="1" s="1"/>
  <c r="E130" i="1"/>
  <c r="E133" i="1" s="1"/>
  <c r="D130" i="1"/>
  <c r="D133" i="1" s="1"/>
  <c r="C130" i="1"/>
  <c r="C133" i="1" s="1"/>
  <c r="G119" i="1"/>
  <c r="G120" i="1" s="1"/>
  <c r="G121" i="1"/>
  <c r="F121" i="1"/>
  <c r="F119" i="1"/>
  <c r="F120" i="1" s="1"/>
  <c r="E121" i="1"/>
  <c r="E119" i="1"/>
  <c r="E120" i="1" s="1"/>
  <c r="D119" i="1"/>
  <c r="D120" i="1" s="1"/>
  <c r="D121" i="1"/>
  <c r="C121" i="1"/>
  <c r="C119" i="1"/>
  <c r="C120" i="1" s="1"/>
  <c r="E173" i="1"/>
  <c r="F173" i="1"/>
  <c r="D173" i="1"/>
  <c r="C173" i="1"/>
  <c r="F280" i="1" l="1"/>
  <c r="L281" i="1" s="1"/>
  <c r="AQ253" i="1"/>
  <c r="AQ263" i="1"/>
  <c r="AQ255" i="1"/>
  <c r="AQ265" i="1"/>
  <c r="AC291" i="1"/>
  <c r="AI292" i="1" s="1"/>
  <c r="AD291" i="1"/>
  <c r="AJ292" i="1" s="1"/>
  <c r="AA280" i="1"/>
  <c r="AG281" i="1" s="1"/>
  <c r="AF281" i="1"/>
  <c r="AB271" i="1"/>
  <c r="AF270" i="1"/>
  <c r="AC271" i="1"/>
  <c r="AB247" i="1"/>
  <c r="AH248" i="1" s="1"/>
  <c r="AG259" i="1"/>
  <c r="AF292" i="1"/>
  <c r="AH259" i="1"/>
  <c r="AH281" i="1"/>
  <c r="AC258" i="1"/>
  <c r="AI259" i="1" s="1"/>
  <c r="AD258" i="1"/>
  <c r="AJ259" i="1" s="1"/>
  <c r="AA269" i="1"/>
  <c r="AG270" i="1" s="1"/>
  <c r="AD271" i="1"/>
  <c r="Z247" i="1"/>
  <c r="AF248" i="1" s="1"/>
  <c r="AC249" i="1"/>
  <c r="Z260" i="1"/>
  <c r="AD249" i="1"/>
  <c r="AA260" i="1"/>
  <c r="AB282" i="1"/>
  <c r="Z293" i="1"/>
  <c r="AB260" i="1"/>
  <c r="AC282" i="1"/>
  <c r="AA293" i="1"/>
  <c r="AD282" i="1"/>
  <c r="AB293" i="1"/>
  <c r="D342" i="1"/>
  <c r="J343" i="1" s="1"/>
  <c r="C320" i="1"/>
  <c r="I321" i="1" s="1"/>
  <c r="T244" i="1"/>
  <c r="T264" i="1"/>
  <c r="T249" i="1"/>
  <c r="C344" i="1"/>
  <c r="J332" i="1"/>
  <c r="G342" i="1"/>
  <c r="M343" i="1" s="1"/>
  <c r="F344" i="1"/>
  <c r="K321" i="1"/>
  <c r="E344" i="1"/>
  <c r="J310" i="1"/>
  <c r="M321" i="1"/>
  <c r="J270" i="1"/>
  <c r="L332" i="1"/>
  <c r="G247" i="1"/>
  <c r="M248" i="1" s="1"/>
  <c r="G280" i="1"/>
  <c r="M281" i="1" s="1"/>
  <c r="L259" i="1"/>
  <c r="F333" i="1"/>
  <c r="I248" i="1"/>
  <c r="K270" i="1"/>
  <c r="C331" i="1"/>
  <c r="I332" i="1" s="1"/>
  <c r="L270" i="1"/>
  <c r="T212" i="1"/>
  <c r="U135" i="1"/>
  <c r="I270" i="1"/>
  <c r="F249" i="1"/>
  <c r="C291" i="1"/>
  <c r="I292" i="1" s="1"/>
  <c r="E291" i="1"/>
  <c r="K292" i="1" s="1"/>
  <c r="D293" i="1"/>
  <c r="F291" i="1"/>
  <c r="L292" i="1" s="1"/>
  <c r="I281" i="1"/>
  <c r="G269" i="1"/>
  <c r="M270" i="1" s="1"/>
  <c r="D260" i="1"/>
  <c r="G258" i="1"/>
  <c r="M259" i="1" s="1"/>
  <c r="J259" i="1"/>
  <c r="L248" i="1"/>
  <c r="D247" i="1"/>
  <c r="J248" i="1" s="1"/>
  <c r="E247" i="1"/>
  <c r="K248" i="1" s="1"/>
  <c r="G291" i="1"/>
  <c r="M292" i="1" s="1"/>
  <c r="C282" i="1"/>
  <c r="D282" i="1"/>
  <c r="E282" i="1"/>
  <c r="C271" i="1"/>
  <c r="D271" i="1"/>
  <c r="E271" i="1"/>
  <c r="F271" i="1"/>
  <c r="I259" i="1"/>
  <c r="C260" i="1"/>
  <c r="E260" i="1"/>
  <c r="F260" i="1"/>
  <c r="C249" i="1"/>
  <c r="G322" i="1"/>
  <c r="F309" i="1"/>
  <c r="C309" i="1"/>
  <c r="I310" i="1" s="1"/>
  <c r="D333" i="1"/>
  <c r="E309" i="1"/>
  <c r="E313" i="1"/>
  <c r="F304" i="1"/>
  <c r="F320" i="1"/>
  <c r="L321" i="1" s="1"/>
  <c r="E331" i="1"/>
  <c r="K332" i="1" s="1"/>
  <c r="G309" i="1"/>
  <c r="M310" i="1" s="1"/>
  <c r="E311" i="1"/>
  <c r="G331" i="1"/>
  <c r="M332" i="1" s="1"/>
  <c r="T218" i="1"/>
  <c r="T215" i="1"/>
  <c r="U148" i="1"/>
  <c r="T210" i="1"/>
  <c r="U121" i="1"/>
  <c r="T191" i="1"/>
  <c r="T190" i="1"/>
  <c r="T186" i="1"/>
  <c r="U142" i="1"/>
  <c r="U118" i="1"/>
  <c r="U115" i="1"/>
  <c r="U117" i="1"/>
  <c r="U140" i="1"/>
  <c r="U116" i="1"/>
  <c r="U143" i="1"/>
  <c r="U119" i="1"/>
  <c r="U147" i="1"/>
  <c r="U139" i="1"/>
  <c r="U123" i="1"/>
  <c r="T206" i="1"/>
  <c r="U146" i="1"/>
  <c r="U130" i="1"/>
  <c r="U122" i="1"/>
  <c r="T205" i="1"/>
  <c r="U145" i="1"/>
  <c r="U137" i="1"/>
  <c r="T217" i="1"/>
  <c r="T201" i="1"/>
  <c r="T185" i="1"/>
  <c r="U134" i="1"/>
  <c r="T216" i="1"/>
  <c r="T208" i="1"/>
  <c r="T200" i="1"/>
  <c r="U149" i="1"/>
  <c r="U141" i="1"/>
  <c r="U133" i="1"/>
  <c r="U125" i="1"/>
  <c r="U124" i="1"/>
  <c r="U155" i="1"/>
  <c r="U131" i="1"/>
  <c r="U154" i="1"/>
  <c r="U153" i="1"/>
  <c r="U129" i="1"/>
  <c r="T211" i="1"/>
  <c r="T203" i="1"/>
  <c r="T195" i="1"/>
  <c r="U152" i="1"/>
  <c r="U136" i="1"/>
  <c r="U128" i="1"/>
  <c r="T202" i="1"/>
  <c r="U151" i="1"/>
  <c r="U127" i="1"/>
  <c r="T213" i="1"/>
  <c r="T193" i="1"/>
  <c r="T192" i="1"/>
  <c r="T207" i="1"/>
  <c r="T198" i="1"/>
  <c r="T197" i="1"/>
  <c r="T196" i="1"/>
  <c r="T188" i="1"/>
  <c r="T187" i="1"/>
  <c r="AB153" i="1"/>
  <c r="AJ154" i="1" s="1"/>
  <c r="AB156" i="1" s="1"/>
  <c r="AG156" i="1" s="1"/>
  <c r="AP156" i="1" s="1"/>
  <c r="BC223" i="1"/>
  <c r="AP146" i="1"/>
  <c r="AP135" i="1"/>
  <c r="AL223" i="1"/>
  <c r="AD220" i="1" s="1"/>
  <c r="AG117" i="1"/>
  <c r="AP138" i="1"/>
  <c r="AE153" i="1"/>
  <c r="AM154" i="1" s="1"/>
  <c r="AK188" i="1"/>
  <c r="AZ223" i="1"/>
  <c r="AX206" i="1"/>
  <c r="AF142" i="1"/>
  <c r="AN143" i="1" s="1"/>
  <c r="AE224" i="1"/>
  <c r="AK212" i="1"/>
  <c r="AC209" i="1" s="1"/>
  <c r="AP139" i="1"/>
  <c r="AZ212" i="1"/>
  <c r="AG143" i="1"/>
  <c r="C355" i="1"/>
  <c r="AM190" i="1"/>
  <c r="AE187" i="1" s="1"/>
  <c r="F353" i="1"/>
  <c r="AJ190" i="1"/>
  <c r="AB187" i="1" s="1"/>
  <c r="AG121" i="1"/>
  <c r="AJ201" i="1"/>
  <c r="BA212" i="1"/>
  <c r="BB223" i="1"/>
  <c r="AW185" i="1"/>
  <c r="AX218" i="1" s="1"/>
  <c r="AE131" i="1"/>
  <c r="AM132" i="1" s="1"/>
  <c r="AP134" i="1"/>
  <c r="AP145" i="1"/>
  <c r="AP148" i="1"/>
  <c r="AX204" i="1"/>
  <c r="AX217" i="1"/>
  <c r="AK190" i="1"/>
  <c r="AC187" i="1" s="1"/>
  <c r="AX208" i="1"/>
  <c r="AP127" i="1"/>
  <c r="AL190" i="1"/>
  <c r="AD187" i="1" s="1"/>
  <c r="AX195" i="1"/>
  <c r="AP128" i="1"/>
  <c r="AP136" i="1"/>
  <c r="AN190" i="1"/>
  <c r="AF187" i="1" s="1"/>
  <c r="AM143" i="1"/>
  <c r="AP149" i="1"/>
  <c r="BB201" i="1"/>
  <c r="AB131" i="1"/>
  <c r="AJ132" i="1" s="1"/>
  <c r="AL143" i="1"/>
  <c r="AP150" i="1"/>
  <c r="AK223" i="1"/>
  <c r="AC220" i="1" s="1"/>
  <c r="BC201" i="1"/>
  <c r="AC131" i="1"/>
  <c r="AK132" i="1" s="1"/>
  <c r="AN212" i="1"/>
  <c r="AF209" i="1" s="1"/>
  <c r="AP147" i="1"/>
  <c r="AG116" i="1"/>
  <c r="G353" i="1"/>
  <c r="AG152" i="1"/>
  <c r="AD224" i="1"/>
  <c r="AE213" i="1"/>
  <c r="AG133" i="1"/>
  <c r="AG140" i="1"/>
  <c r="AC142" i="1"/>
  <c r="AK143" i="1" s="1"/>
  <c r="AB166" i="1"/>
  <c r="AG166" i="1" s="1"/>
  <c r="AB120" i="1"/>
  <c r="AJ121" i="1" s="1"/>
  <c r="AX214" i="1"/>
  <c r="AG162" i="1"/>
  <c r="AE120" i="1"/>
  <c r="AM121" i="1" s="1"/>
  <c r="AE118" i="1" s="1"/>
  <c r="AD191" i="1"/>
  <c r="J190" i="1"/>
  <c r="AX215" i="1"/>
  <c r="AG129" i="1"/>
  <c r="AC164" i="1"/>
  <c r="AK165" i="1" s="1"/>
  <c r="AX216" i="1"/>
  <c r="AJ165" i="1"/>
  <c r="D355" i="1"/>
  <c r="E355" i="1"/>
  <c r="AM212" i="1"/>
  <c r="AE209" i="1" s="1"/>
  <c r="AM223" i="1"/>
  <c r="AE220" i="1" s="1"/>
  <c r="AH196" i="1"/>
  <c r="AH227" i="1"/>
  <c r="AH226" i="1"/>
  <c r="AH197" i="1"/>
  <c r="AH207" i="1"/>
  <c r="AH218" i="1"/>
  <c r="AH206" i="1"/>
  <c r="AH217" i="1"/>
  <c r="AD211" i="1"/>
  <c r="AL212" i="1" s="1"/>
  <c r="AD209" i="1" s="1"/>
  <c r="AH195" i="1"/>
  <c r="AH208" i="1"/>
  <c r="AH225" i="1"/>
  <c r="AH219" i="1"/>
  <c r="AD200" i="1"/>
  <c r="AL201" i="1" s="1"/>
  <c r="AD198" i="1" s="1"/>
  <c r="AG223" i="1"/>
  <c r="AX197" i="1"/>
  <c r="AX225" i="1"/>
  <c r="AX226" i="1"/>
  <c r="AX219" i="1"/>
  <c r="AX227" i="1"/>
  <c r="AG130" i="1"/>
  <c r="AD120" i="1"/>
  <c r="AL121" i="1" s="1"/>
  <c r="AG119" i="1"/>
  <c r="AD122" i="1"/>
  <c r="AG155" i="1"/>
  <c r="AP137" i="1"/>
  <c r="AD144" i="1"/>
  <c r="AC153" i="1"/>
  <c r="AK154" i="1" s="1"/>
  <c r="AG163" i="1"/>
  <c r="AC120" i="1"/>
  <c r="AK121" i="1" s="1"/>
  <c r="AD131" i="1"/>
  <c r="AG141" i="1"/>
  <c r="AE144" i="1"/>
  <c r="AD153" i="1"/>
  <c r="AL154" i="1" s="1"/>
  <c r="AC122" i="1"/>
  <c r="AD124" i="1"/>
  <c r="AF131" i="1"/>
  <c r="AN132" i="1" s="1"/>
  <c r="AG132" i="1"/>
  <c r="AB142" i="1"/>
  <c r="AF153" i="1"/>
  <c r="AN154" i="1" s="1"/>
  <c r="AG154" i="1"/>
  <c r="AD164" i="1"/>
  <c r="AL165" i="1" s="1"/>
  <c r="AD115" i="1"/>
  <c r="AG115" i="1" s="1"/>
  <c r="AF120" i="1"/>
  <c r="AN121" i="1" s="1"/>
  <c r="AE122" i="1"/>
  <c r="AP126" i="1"/>
  <c r="AE164" i="1"/>
  <c r="AM165" i="1" s="1"/>
  <c r="AG165" i="1"/>
  <c r="AF164" i="1"/>
  <c r="AN165" i="1" s="1"/>
  <c r="AU188" i="1"/>
  <c r="AU191" i="1" s="1"/>
  <c r="AW187" i="1"/>
  <c r="M190" i="1"/>
  <c r="AG201" i="1"/>
  <c r="AW220" i="1"/>
  <c r="AW190" i="1"/>
  <c r="K234" i="1"/>
  <c r="AF211" i="1"/>
  <c r="AN223" i="1" s="1"/>
  <c r="AF220" i="1" s="1"/>
  <c r="AW201" i="1"/>
  <c r="AG221" i="1"/>
  <c r="AW223" i="1"/>
  <c r="AG190" i="1"/>
  <c r="AV189" i="1"/>
  <c r="AS222" i="1"/>
  <c r="BA223" i="1" s="1"/>
  <c r="AR224" i="1"/>
  <c r="AE191" i="1"/>
  <c r="AG212" i="1"/>
  <c r="AV200" i="1"/>
  <c r="BD201" i="1" s="1"/>
  <c r="AV211" i="1"/>
  <c r="BD212" i="1" s="1"/>
  <c r="AR213" i="1"/>
  <c r="AW212" i="1"/>
  <c r="AT224" i="1"/>
  <c r="AW198" i="1"/>
  <c r="AV222" i="1"/>
  <c r="BD223" i="1" s="1"/>
  <c r="AR200" i="1"/>
  <c r="AZ201" i="1" s="1"/>
  <c r="AS200" i="1"/>
  <c r="BA201" i="1" s="1"/>
  <c r="AU202" i="1"/>
  <c r="AT211" i="1"/>
  <c r="BB212" i="1" s="1"/>
  <c r="AS213" i="1"/>
  <c r="AW210" i="1"/>
  <c r="AW209" i="1"/>
  <c r="AT189" i="1"/>
  <c r="AR189" i="1"/>
  <c r="AS191" i="1"/>
  <c r="AT202" i="1"/>
  <c r="AW199" i="1"/>
  <c r="AU211" i="1"/>
  <c r="BC212" i="1" s="1"/>
  <c r="AW221" i="1"/>
  <c r="AU224" i="1"/>
  <c r="AR191" i="1"/>
  <c r="AB222" i="1"/>
  <c r="AG222" i="1" s="1"/>
  <c r="AB202" i="1"/>
  <c r="AG189" i="1"/>
  <c r="AB224" i="1"/>
  <c r="AG199" i="1"/>
  <c r="AE200" i="1"/>
  <c r="AM201" i="1" s="1"/>
  <c r="AE198" i="1" s="1"/>
  <c r="AF191" i="1"/>
  <c r="AF224" i="1"/>
  <c r="AG210" i="1"/>
  <c r="AF202" i="1"/>
  <c r="AG215" i="1"/>
  <c r="AH215" i="1" s="1"/>
  <c r="AC191" i="1"/>
  <c r="AC200" i="1"/>
  <c r="AK201" i="1" s="1"/>
  <c r="AC198" i="1" s="1"/>
  <c r="AC204" i="1" s="1"/>
  <c r="AG204" i="1" s="1"/>
  <c r="AH204" i="1" s="1"/>
  <c r="AC213" i="1"/>
  <c r="AB191" i="1"/>
  <c r="AB213" i="1"/>
  <c r="AC224" i="1"/>
  <c r="AG216" i="1"/>
  <c r="AH216" i="1" s="1"/>
  <c r="AG188" i="1"/>
  <c r="AF200" i="1"/>
  <c r="AN201" i="1" s="1"/>
  <c r="AF198" i="1" s="1"/>
  <c r="AB211" i="1"/>
  <c r="AJ212" i="1" s="1"/>
  <c r="AB209" i="1" s="1"/>
  <c r="L201" i="1"/>
  <c r="E188" i="1"/>
  <c r="E184" i="1"/>
  <c r="C189" i="1"/>
  <c r="I190" i="1" s="1"/>
  <c r="M212" i="1"/>
  <c r="D191" i="1"/>
  <c r="E235" i="1"/>
  <c r="F191" i="1"/>
  <c r="G191" i="1"/>
  <c r="D233" i="1"/>
  <c r="J234" i="1" s="1"/>
  <c r="J176" i="1"/>
  <c r="C224" i="1"/>
  <c r="D202" i="1"/>
  <c r="I176" i="1"/>
  <c r="G224" i="1"/>
  <c r="M201" i="1"/>
  <c r="E202" i="1"/>
  <c r="C213" i="1"/>
  <c r="M223" i="1"/>
  <c r="L234" i="1"/>
  <c r="C200" i="1"/>
  <c r="G213" i="1"/>
  <c r="J201" i="1"/>
  <c r="F202" i="1"/>
  <c r="G202" i="1"/>
  <c r="M234" i="1"/>
  <c r="K201" i="1"/>
  <c r="J212" i="1"/>
  <c r="I212" i="1"/>
  <c r="K212" i="1"/>
  <c r="J223" i="1"/>
  <c r="I223" i="1"/>
  <c r="C220" i="1" s="1"/>
  <c r="K223" i="1"/>
  <c r="F235" i="1"/>
  <c r="F211" i="1"/>
  <c r="F222" i="1"/>
  <c r="L223" i="1" s="1"/>
  <c r="C233" i="1"/>
  <c r="G235" i="1"/>
  <c r="D213" i="1"/>
  <c r="D224" i="1"/>
  <c r="E213" i="1"/>
  <c r="E224" i="1"/>
  <c r="J143" i="1"/>
  <c r="L121" i="1"/>
  <c r="J121" i="1"/>
  <c r="K121" i="1"/>
  <c r="M121" i="1"/>
  <c r="I121" i="1"/>
  <c r="M143" i="1"/>
  <c r="I154" i="1"/>
  <c r="M165" i="1"/>
  <c r="D151" i="1"/>
  <c r="J154" i="1"/>
  <c r="D131" i="1"/>
  <c r="J132" i="1" s="1"/>
  <c r="C164" i="1"/>
  <c r="G131" i="1"/>
  <c r="M132" i="1" s="1"/>
  <c r="C131" i="1"/>
  <c r="D164" i="1"/>
  <c r="J165" i="1" s="1"/>
  <c r="C142" i="1"/>
  <c r="D144" i="1"/>
  <c r="G166" i="1"/>
  <c r="E175" i="1"/>
  <c r="K176" i="1" s="1"/>
  <c r="G144" i="1"/>
  <c r="F175" i="1"/>
  <c r="L176" i="1" s="1"/>
  <c r="G175" i="1"/>
  <c r="M176" i="1" s="1"/>
  <c r="F153" i="1"/>
  <c r="G153" i="1"/>
  <c r="C177" i="1"/>
  <c r="D177" i="1"/>
  <c r="E164" i="1"/>
  <c r="K165" i="1" s="1"/>
  <c r="F164" i="1"/>
  <c r="L165" i="1" s="1"/>
  <c r="E153" i="1"/>
  <c r="K154" i="1" s="1"/>
  <c r="C155" i="1"/>
  <c r="D155" i="1"/>
  <c r="E142" i="1"/>
  <c r="K143" i="1" s="1"/>
  <c r="F142" i="1"/>
  <c r="L143" i="1" s="1"/>
  <c r="E131" i="1"/>
  <c r="K132" i="1" s="1"/>
  <c r="F131" i="1"/>
  <c r="L132" i="1" s="1"/>
  <c r="C122" i="1"/>
  <c r="G122" i="1"/>
  <c r="E122" i="1"/>
  <c r="D122" i="1"/>
  <c r="F122" i="1"/>
  <c r="E312" i="1" l="1"/>
  <c r="F312" i="1"/>
  <c r="L310" i="1"/>
  <c r="F314" i="1"/>
  <c r="K310" i="1"/>
  <c r="E314" i="1"/>
  <c r="AW202" i="1"/>
  <c r="AG187" i="1"/>
  <c r="AP140" i="1"/>
  <c r="AG142" i="1"/>
  <c r="AG131" i="1"/>
  <c r="AP129" i="1"/>
  <c r="AX207" i="1"/>
  <c r="AX196" i="1"/>
  <c r="AG122" i="1"/>
  <c r="AB151" i="1"/>
  <c r="AB157" i="1" s="1"/>
  <c r="AG157" i="1" s="1"/>
  <c r="AP157" i="1" s="1"/>
  <c r="AB158" i="1"/>
  <c r="AG158" i="1" s="1"/>
  <c r="AP158" i="1" s="1"/>
  <c r="AG144" i="1"/>
  <c r="AP144" i="1" s="1"/>
  <c r="AG220" i="1"/>
  <c r="AG209" i="1"/>
  <c r="AS203" i="1"/>
  <c r="AW203" i="1" s="1"/>
  <c r="AX203" i="1" s="1"/>
  <c r="AS205" i="1"/>
  <c r="AW205" i="1" s="1"/>
  <c r="AX205" i="1" s="1"/>
  <c r="AG198" i="1"/>
  <c r="AE123" i="1"/>
  <c r="AJ223" i="1"/>
  <c r="AX220" i="1"/>
  <c r="AC203" i="1"/>
  <c r="AG203" i="1" s="1"/>
  <c r="AH203" i="1" s="1"/>
  <c r="AE125" i="1"/>
  <c r="AC205" i="1"/>
  <c r="AG205" i="1" s="1"/>
  <c r="AH205" i="1" s="1"/>
  <c r="AX209" i="1"/>
  <c r="AX198" i="1"/>
  <c r="AL132" i="1"/>
  <c r="AG120" i="1"/>
  <c r="AD125" i="1"/>
  <c r="AD123" i="1"/>
  <c r="AP143" i="1"/>
  <c r="AP154" i="1"/>
  <c r="AP132" i="1"/>
  <c r="AJ143" i="1"/>
  <c r="AG164" i="1"/>
  <c r="AG153" i="1"/>
  <c r="AE124" i="1"/>
  <c r="AG124" i="1" s="1"/>
  <c r="AG118" i="1"/>
  <c r="AP152" i="1"/>
  <c r="AP130" i="1"/>
  <c r="AP141" i="1"/>
  <c r="AP155" i="1"/>
  <c r="AP133" i="1"/>
  <c r="AW211" i="1"/>
  <c r="AW188" i="1"/>
  <c r="AU189" i="1"/>
  <c r="AW189" i="1" s="1"/>
  <c r="AW222" i="1"/>
  <c r="AW224" i="1"/>
  <c r="AG224" i="1"/>
  <c r="AG213" i="1"/>
  <c r="AW200" i="1"/>
  <c r="AG200" i="1"/>
  <c r="AW213" i="1"/>
  <c r="AW191" i="1"/>
  <c r="AG202" i="1"/>
  <c r="AG191" i="1"/>
  <c r="AG214" i="1"/>
  <c r="AH214" i="1" s="1"/>
  <c r="AG211" i="1"/>
  <c r="E191" i="1"/>
  <c r="E189" i="1"/>
  <c r="K190" i="1" s="1"/>
  <c r="E187" i="1" s="1"/>
  <c r="E193" i="1" s="1"/>
  <c r="C225" i="1"/>
  <c r="C227" i="1"/>
  <c r="C226" i="1"/>
  <c r="L212" i="1"/>
  <c r="I201" i="1"/>
  <c r="I234" i="1"/>
  <c r="C156" i="1"/>
  <c r="C158" i="1"/>
  <c r="E156" i="1"/>
  <c r="E158" i="1"/>
  <c r="I143" i="1"/>
  <c r="I132" i="1"/>
  <c r="I165" i="1"/>
  <c r="G151" i="1"/>
  <c r="G157" i="1" s="1"/>
  <c r="M154" i="1"/>
  <c r="F151" i="1"/>
  <c r="F157" i="1" s="1"/>
  <c r="L154" i="1"/>
  <c r="D157" i="1"/>
  <c r="D158" i="1"/>
  <c r="D156" i="1"/>
  <c r="AH220" i="1" l="1"/>
  <c r="AH198" i="1"/>
  <c r="AH209" i="1"/>
  <c r="AG151" i="1"/>
  <c r="AP151" i="1" s="1"/>
  <c r="AG125" i="1"/>
  <c r="AG123" i="1"/>
  <c r="AP153" i="1"/>
  <c r="AP131" i="1"/>
  <c r="AP142" i="1"/>
  <c r="E192" i="1"/>
  <c r="E194" i="1"/>
  <c r="G158" i="1"/>
  <c r="G156" i="1"/>
  <c r="F156" i="1"/>
  <c r="F158" i="1"/>
  <c r="F184" i="1" l="1"/>
  <c r="F189" i="1"/>
  <c r="L190" i="1" s="1"/>
  <c r="F187" i="1" l="1"/>
  <c r="F193" i="1" s="1"/>
  <c r="F192" i="1"/>
  <c r="F194" i="1"/>
</calcChain>
</file>

<file path=xl/sharedStrings.xml><?xml version="1.0" encoding="utf-8"?>
<sst xmlns="http://schemas.openxmlformats.org/spreadsheetml/2006/main" count="902" uniqueCount="104">
  <si>
    <t>Method</t>
  </si>
  <si>
    <t>F1</t>
  </si>
  <si>
    <t>Recall</t>
  </si>
  <si>
    <t>Precsion</t>
  </si>
  <si>
    <t>MCC</t>
  </si>
  <si>
    <t>AUC</t>
  </si>
  <si>
    <t>ACC</t>
  </si>
  <si>
    <t>PF</t>
  </si>
  <si>
    <t>Giraph</t>
  </si>
  <si>
    <t>FRLink</t>
  </si>
  <si>
    <t>DeepLink</t>
  </si>
  <si>
    <t>hybrid-linker</t>
  </si>
  <si>
    <t>T-BERT</t>
  </si>
  <si>
    <t>BTLink</t>
  </si>
  <si>
    <t>Eloss</t>
  </si>
  <si>
    <t>adaptiveLoss</t>
  </si>
  <si>
    <t>adaptiveLoss_ADV</t>
  </si>
  <si>
    <t>Our-ADV</t>
  </si>
  <si>
    <t>Iog4net</t>
  </si>
  <si>
    <t>OODT</t>
  </si>
  <si>
    <t>keras</t>
  </si>
  <si>
    <t>Avro</t>
  </si>
  <si>
    <t>Buildr</t>
  </si>
  <si>
    <t>Tika</t>
  </si>
  <si>
    <t>Nutch</t>
  </si>
  <si>
    <t>Beam</t>
  </si>
  <si>
    <t>★空</t>
  </si>
  <si>
    <t>Isis</t>
  </si>
  <si>
    <t>Ivy</t>
  </si>
  <si>
    <t>★</t>
  </si>
  <si>
    <t>Tez</t>
  </si>
  <si>
    <t>Ignite</t>
  </si>
  <si>
    <t>Calcite</t>
  </si>
  <si>
    <t>Groovy</t>
  </si>
  <si>
    <t>Pglci</t>
  </si>
  <si>
    <t>Flask</t>
  </si>
  <si>
    <t>Netbeans</t>
  </si>
  <si>
    <t>Arrow</t>
  </si>
  <si>
    <t>Airflow</t>
  </si>
  <si>
    <t>×</t>
  </si>
  <si>
    <t>ant-ivy</t>
  </si>
  <si>
    <t>cassandra</t>
  </si>
  <si>
    <t>Freemarker</t>
  </si>
  <si>
    <t>Keras</t>
  </si>
  <si>
    <t>Log4Net</t>
  </si>
  <si>
    <t>Avg.</t>
  </si>
  <si>
    <t>RFLink</t>
  </si>
  <si>
    <t>Precision</t>
  </si>
  <si>
    <t>Specificity</t>
  </si>
  <si>
    <t>T-Bert</t>
  </si>
  <si>
    <t>VALink</t>
  </si>
  <si>
    <t>TP</t>
    <phoneticPr fontId="7" type="noConversion"/>
  </si>
  <si>
    <t>FP</t>
    <phoneticPr fontId="7" type="noConversion"/>
  </si>
  <si>
    <t>TN+FP</t>
    <phoneticPr fontId="7" type="noConversion"/>
  </si>
  <si>
    <t>FN</t>
    <phoneticPr fontId="7" type="noConversion"/>
  </si>
  <si>
    <t>MCC</t>
    <phoneticPr fontId="7" type="noConversion"/>
  </si>
  <si>
    <t>AUC</t>
    <phoneticPr fontId="7" type="noConversion"/>
  </si>
  <si>
    <t>ACC</t>
    <phoneticPr fontId="7" type="noConversion"/>
  </si>
  <si>
    <t>TN</t>
    <phoneticPr fontId="7" type="noConversion"/>
  </si>
  <si>
    <t>Diff</t>
    <phoneticPr fontId="7" type="noConversion"/>
  </si>
  <si>
    <t>VALink-AHL</t>
    <phoneticPr fontId="7" type="noConversion"/>
  </si>
  <si>
    <t>VALink-VAT</t>
    <phoneticPr fontId="7" type="noConversion"/>
  </si>
  <si>
    <t>Log4Net</t>
    <phoneticPr fontId="7" type="noConversion"/>
  </si>
  <si>
    <t>Measure</t>
    <phoneticPr fontId="7" type="noConversion"/>
  </si>
  <si>
    <t>hybrid-linker</t>
    <phoneticPr fontId="7" type="noConversion"/>
  </si>
  <si>
    <t>DeepLink</t>
    <phoneticPr fontId="7" type="noConversion"/>
  </si>
  <si>
    <t>VALink-CEL</t>
    <phoneticPr fontId="7" type="noConversion"/>
  </si>
  <si>
    <t>VALink-CL</t>
    <phoneticPr fontId="7" type="noConversion"/>
  </si>
  <si>
    <t>Roberta-AHL</t>
    <phoneticPr fontId="7" type="noConversion"/>
  </si>
  <si>
    <t>Roberta-VAT</t>
    <phoneticPr fontId="7" type="noConversion"/>
  </si>
  <si>
    <t>Roberta-ALL</t>
    <phoneticPr fontId="7" type="noConversion"/>
  </si>
  <si>
    <t>Roberta</t>
    <phoneticPr fontId="7" type="noConversion"/>
  </si>
  <si>
    <t>Codebert</t>
    <phoneticPr fontId="7" type="noConversion"/>
  </si>
  <si>
    <t>Codebert-AHL</t>
    <phoneticPr fontId="7" type="noConversion"/>
  </si>
  <si>
    <t>Codebert-VAT</t>
    <phoneticPr fontId="7" type="noConversion"/>
  </si>
  <si>
    <t>Codebert-ALL</t>
    <phoneticPr fontId="7" type="noConversion"/>
  </si>
  <si>
    <t>diff</t>
    <phoneticPr fontId="7" type="noConversion"/>
  </si>
  <si>
    <t>E1</t>
    <phoneticPr fontId="7" type="noConversion"/>
  </si>
  <si>
    <t>E2</t>
    <phoneticPr fontId="7" type="noConversion"/>
  </si>
  <si>
    <t>Recall</t>
    <phoneticPr fontId="7" type="noConversion"/>
  </si>
  <si>
    <t>Precision</t>
    <phoneticPr fontId="7" type="noConversion"/>
  </si>
  <si>
    <t>Specificity</t>
    <phoneticPr fontId="7" type="noConversion"/>
  </si>
  <si>
    <t>F1</t>
    <phoneticPr fontId="7" type="noConversion"/>
  </si>
  <si>
    <t>Diff.</t>
  </si>
  <si>
    <t>不知道干嘛的</t>
    <phoneticPr fontId="7" type="noConversion"/>
  </si>
  <si>
    <t>论文数据</t>
    <phoneticPr fontId="7" type="noConversion"/>
  </si>
  <si>
    <t>计算的四舍五入</t>
    <phoneticPr fontId="7" type="noConversion"/>
  </si>
  <si>
    <t>Avg.</t>
    <phoneticPr fontId="7" type="noConversion"/>
  </si>
  <si>
    <t>CEL</t>
    <phoneticPr fontId="7" type="noConversion"/>
  </si>
  <si>
    <t>AHL</t>
    <phoneticPr fontId="7" type="noConversion"/>
  </si>
  <si>
    <t>CL</t>
    <phoneticPr fontId="7" type="noConversion"/>
  </si>
  <si>
    <t>CL:CEL=1</t>
    <phoneticPr fontId="7" type="noConversion"/>
  </si>
  <si>
    <t>BTLink</t>
    <phoneticPr fontId="7" type="noConversion"/>
  </si>
  <si>
    <t>T-Bert</t>
    <phoneticPr fontId="7" type="noConversion"/>
  </si>
  <si>
    <t>E5，关于混合损失的消融实验</t>
    <phoneticPr fontId="7" type="noConversion"/>
  </si>
  <si>
    <t>FRLink</t>
    <phoneticPr fontId="7" type="noConversion"/>
  </si>
  <si>
    <t>E4-2，关于cross-train的实验</t>
    <phoneticPr fontId="7" type="noConversion"/>
  </si>
  <si>
    <t>E4-1，关于cross-train的实验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</si>
  <si>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</si>
  <si>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</si>
  <si>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</si>
  <si>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</si>
  <si>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D</t>
    <phoneticPr fontId="7" type="noConversion"/>
  </si>
  <si>
    <t>E3，在Roberta和CodeBert分别使用对抗训练和混合损失函数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</si>
</sst>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theme="0" tint="-0.499984740745262"/>
      <name val="等线"/>
      <charset val="134"/>
      <scheme val="minor"/>
    </font>
    <font>
      <sz val="12"/>
      <color theme="1"/>
      <name val="Arial"/>
      <family val="2"/>
    </font>
    <font>
      <sz val="12"/>
      <color theme="1"/>
      <name val="Microsoft YaHei"/>
      <charset val="134"/>
    </font>
    <font>
      <sz val="9"/>
      <name val="等线"/>
      <charset val="134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charset val="134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rgb="FF000000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0"/>
      <color theme="4"/>
      <name val="Times New Roman"/>
      <family val="1"/>
    </font>
    <font>
      <sz val="10"/>
      <color theme="4"/>
      <name val="Times New Roman"/>
      <family val="1"/>
    </font>
    <font>
      <b/>
      <sz val="10"/>
      <color theme="9"/>
      <name val="Times New Roman"/>
      <family val="1"/>
    </font>
    <font>
      <sz val="10"/>
      <color theme="9"/>
      <name val="Times New Roman"/>
      <family val="1"/>
    </font>
    <font>
      <sz val="12"/>
      <color theme="9"/>
      <name val="等线"/>
      <charset val="134"/>
      <scheme val="minor"/>
    </font>
    <font>
      <sz val="26"/>
      <color theme="1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0"/>
      <color rgb="FF00B050"/>
      <name val="Times New Roman"/>
      <family val="1"/>
    </font>
    <font>
      <b/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5" fillId="0" borderId="0" xfId="0" applyFont="1"/>
    <xf numFmtId="0" fontId="3" fillId="5" borderId="0" xfId="0" applyFont="1" applyFill="1"/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8" fillId="0" borderId="1" xfId="0" applyFont="1" applyBorder="1"/>
    <xf numFmtId="0" fontId="1" fillId="0" borderId="0" xfId="1" applyNumberFormat="1" applyFont="1" applyAlignment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6" fontId="24" fillId="0" borderId="0" xfId="0" applyNumberFormat="1" applyFont="1"/>
    <xf numFmtId="0" fontId="17" fillId="6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10" fontId="1" fillId="0" borderId="0" xfId="1" applyNumberFormat="1" applyFont="1" applyAlignment="1"/>
    <xf numFmtId="0" fontId="23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10" fontId="19" fillId="0" borderId="0" xfId="1" applyNumberFormat="1" applyFont="1" applyAlignment="1"/>
    <xf numFmtId="0" fontId="1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4" fillId="0" borderId="0" xfId="0" applyFont="1"/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177" fontId="10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28" fillId="6" borderId="3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百分比" xfId="1" builtinId="5"/>
    <cellStyle name="常规" xfId="0" builtinId="0"/>
  </cellStyles>
  <dxfs count="1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8"/>
  <sheetViews>
    <sheetView tabSelected="1" topLeftCell="A298" zoomScale="85" zoomScaleNormal="85" workbookViewId="0">
      <selection activeCell="A302" sqref="A302"/>
    </sheetView>
  </sheetViews>
  <sheetFormatPr defaultColWidth="9" defaultRowHeight="15.75"/>
  <cols>
    <col min="1" max="1" width="12.25" style="1" customWidth="1"/>
    <col min="2" max="2" width="20.5" style="1" customWidth="1"/>
    <col min="3" max="4" width="12.375" style="1" bestFit="1" customWidth="1"/>
    <col min="5" max="5" width="12.25" style="1" bestFit="1" customWidth="1"/>
    <col min="6" max="6" width="12.375" style="1" bestFit="1" customWidth="1"/>
    <col min="7" max="7" width="12.5" style="1" customWidth="1"/>
    <col min="8" max="9" width="12.375" style="1" bestFit="1" customWidth="1"/>
    <col min="10" max="11" width="10" style="1" bestFit="1" customWidth="1"/>
    <col min="12" max="12" width="9.5" style="1" customWidth="1"/>
    <col min="13" max="16" width="12.25" style="1" bestFit="1" customWidth="1"/>
    <col min="17" max="17" width="14.375" style="1" bestFit="1" customWidth="1"/>
    <col min="18" max="18" width="24.625" style="1" bestFit="1" customWidth="1"/>
    <col min="19" max="19" width="10.5" style="1" bestFit="1" customWidth="1"/>
    <col min="20" max="20" width="10.5" style="1" customWidth="1"/>
    <col min="21" max="21" width="9" style="1"/>
    <col min="22" max="22" width="9.875" style="1" customWidth="1"/>
    <col min="23" max="24" width="9" style="1"/>
    <col min="25" max="25" width="15.625" style="1" customWidth="1"/>
    <col min="26" max="26" width="9" style="1"/>
    <col min="27" max="27" width="15.25" style="1" customWidth="1"/>
    <col min="28" max="16384" width="9" style="1"/>
  </cols>
  <sheetData>
    <row r="1" spans="1:2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</row>
    <row r="2" spans="1:28">
      <c r="A2" s="81" t="s">
        <v>8</v>
      </c>
      <c r="B2" s="1" t="s">
        <v>9</v>
      </c>
      <c r="C2" s="3">
        <v>0.69740000000000002</v>
      </c>
      <c r="D2" s="1">
        <v>0.63100000000000001</v>
      </c>
      <c r="E2" s="1">
        <v>0.77939999999999998</v>
      </c>
      <c r="F2" s="1">
        <v>0.66790000000000005</v>
      </c>
      <c r="G2" s="1">
        <v>0.80410000000000004</v>
      </c>
      <c r="H2" s="1">
        <v>0.93799999999999994</v>
      </c>
      <c r="I2" s="1">
        <v>2.2799999999999998</v>
      </c>
      <c r="S2" s="73" t="s">
        <v>31</v>
      </c>
      <c r="T2" s="1" t="s">
        <v>9</v>
      </c>
    </row>
    <row r="3" spans="1:28">
      <c r="A3" s="81"/>
      <c r="B3" s="1" t="s">
        <v>10</v>
      </c>
      <c r="C3" s="1">
        <v>0.41830000000000001</v>
      </c>
      <c r="D3" s="1">
        <v>0.72370000000000001</v>
      </c>
      <c r="E3" s="1">
        <v>0.29409999999999997</v>
      </c>
      <c r="F3" s="1">
        <v>0.35489999999999999</v>
      </c>
      <c r="G3" s="1">
        <v>0.75109999999999999</v>
      </c>
      <c r="H3" s="1">
        <v>0.77229999999999999</v>
      </c>
      <c r="I3" s="1">
        <v>22.15</v>
      </c>
      <c r="S3" s="73"/>
      <c r="T3" s="1" t="s">
        <v>10</v>
      </c>
    </row>
    <row r="4" spans="1:28">
      <c r="A4" s="81"/>
      <c r="B4" s="1" t="s">
        <v>11</v>
      </c>
      <c r="C4" s="1">
        <v>4.65E-2</v>
      </c>
      <c r="D4" s="1">
        <v>2.3800000000000002E-2</v>
      </c>
      <c r="E4" s="4">
        <v>1</v>
      </c>
      <c r="F4" s="1">
        <v>0.14549999999999999</v>
      </c>
      <c r="G4" s="1">
        <v>0.51190000000000002</v>
      </c>
      <c r="H4" s="1">
        <v>0.88949999999999996</v>
      </c>
      <c r="I4" s="12">
        <v>0</v>
      </c>
      <c r="S4" s="73"/>
      <c r="T4" s="1" t="s">
        <v>11</v>
      </c>
    </row>
    <row r="5" spans="1:28">
      <c r="A5" s="81"/>
      <c r="B5" s="1" t="s">
        <v>12</v>
      </c>
      <c r="C5" s="1">
        <v>0.87339999999999995</v>
      </c>
      <c r="D5" s="1">
        <v>0.82140000000000002</v>
      </c>
      <c r="E5" s="1">
        <v>0.93240000000000001</v>
      </c>
      <c r="F5" s="1">
        <v>0.86060000000000003</v>
      </c>
      <c r="G5" s="1">
        <v>0.90690000000000004</v>
      </c>
      <c r="H5" s="1">
        <v>0.97299999999999998</v>
      </c>
      <c r="I5" s="1">
        <v>7.6E-3</v>
      </c>
      <c r="K5" s="11"/>
      <c r="L5" s="11"/>
      <c r="M5" s="11"/>
      <c r="N5" s="11"/>
      <c r="O5" s="11"/>
      <c r="P5" s="11"/>
      <c r="Q5" s="11"/>
      <c r="S5" s="73"/>
      <c r="T5" s="1" t="s">
        <v>12</v>
      </c>
    </row>
    <row r="6" spans="1:28">
      <c r="A6" s="81"/>
      <c r="B6" s="1" t="s">
        <v>13</v>
      </c>
      <c r="C6" s="1">
        <v>0.89439999999999997</v>
      </c>
      <c r="D6" s="5">
        <v>0.85709999999999997</v>
      </c>
      <c r="E6" s="5">
        <v>0.93510000000000004</v>
      </c>
      <c r="F6" s="1">
        <v>0.88260000000000005</v>
      </c>
      <c r="G6" s="1">
        <v>0.92479999999999996</v>
      </c>
      <c r="H6" s="1">
        <v>0.97709999999999997</v>
      </c>
      <c r="I6" s="1">
        <v>0.76</v>
      </c>
      <c r="S6" s="73"/>
      <c r="T6" s="1" t="s">
        <v>13</v>
      </c>
    </row>
    <row r="7" spans="1:28" ht="17.25">
      <c r="A7" s="81"/>
      <c r="B7" s="6" t="s">
        <v>14</v>
      </c>
      <c r="C7" s="7">
        <v>0.875</v>
      </c>
      <c r="D7" s="7">
        <v>0.91669999999999996</v>
      </c>
      <c r="E7" s="7">
        <v>0.83699999999999997</v>
      </c>
      <c r="F7" s="7">
        <v>0.85940000000000005</v>
      </c>
      <c r="G7" s="7">
        <v>0.94689999999999996</v>
      </c>
      <c r="H7" s="7">
        <v>0.97040000000000004</v>
      </c>
      <c r="I7" s="7">
        <v>2.2800000000000001E-2</v>
      </c>
      <c r="S7" s="73"/>
      <c r="T7" s="6" t="s">
        <v>14</v>
      </c>
      <c r="U7" s="6"/>
      <c r="V7" s="6"/>
      <c r="W7" s="6"/>
      <c r="X7" s="6"/>
      <c r="Y7" s="6"/>
      <c r="Z7" s="6"/>
      <c r="AA7" s="6"/>
      <c r="AB7" s="15" t="s">
        <v>29</v>
      </c>
    </row>
    <row r="8" spans="1:28">
      <c r="A8" s="81"/>
      <c r="B8" s="6" t="s">
        <v>15</v>
      </c>
      <c r="C8" s="8">
        <v>0.9</v>
      </c>
      <c r="D8" s="8">
        <v>0.85709999999999997</v>
      </c>
      <c r="E8" s="8">
        <v>0.94740000000000002</v>
      </c>
      <c r="F8" s="8">
        <v>0.88929999999999998</v>
      </c>
      <c r="G8" s="8">
        <v>0.92549999999999999</v>
      </c>
      <c r="H8" s="8">
        <v>0.97840000000000005</v>
      </c>
      <c r="I8" s="8">
        <v>6.1000000000000004E-3</v>
      </c>
      <c r="J8" s="13"/>
      <c r="S8" s="73"/>
      <c r="T8" s="6" t="s">
        <v>15</v>
      </c>
      <c r="U8" s="6"/>
      <c r="V8" s="6"/>
      <c r="W8" s="6"/>
      <c r="X8" s="6"/>
      <c r="Y8" s="6"/>
      <c r="Z8" s="6"/>
      <c r="AA8" s="6"/>
    </row>
    <row r="9" spans="1:28">
      <c r="A9" s="81"/>
      <c r="B9" s="6" t="s">
        <v>16</v>
      </c>
      <c r="C9" s="8">
        <v>0.91139999999999999</v>
      </c>
      <c r="D9" s="8">
        <v>0.85709999999999997</v>
      </c>
      <c r="E9" s="8">
        <v>0.97299999999999998</v>
      </c>
      <c r="F9" s="8">
        <v>0.90310000000000001</v>
      </c>
      <c r="G9" s="8">
        <v>0.92710000000000004</v>
      </c>
      <c r="H9" s="8">
        <v>0.98109999999999997</v>
      </c>
      <c r="I9" s="8">
        <v>3.0000000000000001E-3</v>
      </c>
      <c r="J9" s="13"/>
      <c r="S9" s="73"/>
      <c r="T9" s="6" t="s">
        <v>16</v>
      </c>
      <c r="U9" s="6"/>
      <c r="V9" s="6"/>
      <c r="W9" s="6"/>
      <c r="X9" s="6"/>
      <c r="Y9" s="6"/>
      <c r="Z9" s="6"/>
      <c r="AA9" s="6"/>
    </row>
    <row r="10" spans="1:28">
      <c r="A10" s="81"/>
      <c r="B10" s="9" t="s">
        <v>17</v>
      </c>
      <c r="C10" s="9"/>
      <c r="D10" s="10"/>
      <c r="E10" s="10"/>
      <c r="F10" s="9"/>
      <c r="G10" s="9"/>
      <c r="H10" s="9"/>
      <c r="I10" s="14"/>
      <c r="S10" s="73"/>
      <c r="T10" s="9" t="s">
        <v>17</v>
      </c>
      <c r="U10" s="9"/>
      <c r="V10" s="10"/>
      <c r="W10" s="10"/>
      <c r="X10" s="9"/>
      <c r="Y10" s="9"/>
      <c r="Z10" s="9"/>
      <c r="AA10" s="14"/>
    </row>
    <row r="11" spans="1:28">
      <c r="A11" s="81" t="s">
        <v>18</v>
      </c>
      <c r="B11" s="1" t="s">
        <v>9</v>
      </c>
      <c r="C11" s="1">
        <v>0.59570000000000001</v>
      </c>
      <c r="D11" s="1">
        <v>0.48280000000000001</v>
      </c>
      <c r="E11" s="1">
        <v>0.77780000000000005</v>
      </c>
      <c r="F11" s="1">
        <v>0.51149999999999995</v>
      </c>
      <c r="G11" s="1">
        <v>0.71540000000000004</v>
      </c>
      <c r="H11" s="1">
        <v>0.82079999999999997</v>
      </c>
      <c r="I11" s="1">
        <v>5.19</v>
      </c>
      <c r="M11" s="13"/>
      <c r="S11" s="73" t="s">
        <v>32</v>
      </c>
      <c r="T11" s="1" t="s">
        <v>9</v>
      </c>
    </row>
    <row r="12" spans="1:28">
      <c r="A12" s="81"/>
      <c r="B12" s="1" t="s">
        <v>10</v>
      </c>
      <c r="C12" s="1">
        <v>0.51280000000000003</v>
      </c>
      <c r="D12" s="1">
        <v>0.52629999999999999</v>
      </c>
      <c r="E12" s="1">
        <v>0.5</v>
      </c>
      <c r="F12" s="1">
        <v>0.35610000000000003</v>
      </c>
      <c r="G12" s="1">
        <v>0.68120000000000003</v>
      </c>
      <c r="H12" s="1">
        <v>0.76249999999999996</v>
      </c>
      <c r="I12" s="1">
        <v>16.39</v>
      </c>
      <c r="S12" s="73"/>
      <c r="T12" s="1" t="s">
        <v>10</v>
      </c>
    </row>
    <row r="13" spans="1:28">
      <c r="A13" s="81"/>
      <c r="B13" s="1" t="s">
        <v>11</v>
      </c>
      <c r="C13" s="1">
        <v>0.51719999999999999</v>
      </c>
      <c r="D13" s="1">
        <v>0.51719999999999999</v>
      </c>
      <c r="E13" s="1">
        <v>0.51719999999999999</v>
      </c>
      <c r="F13" s="1">
        <v>0.33539999999999998</v>
      </c>
      <c r="G13" s="1">
        <v>0.66769999999999996</v>
      </c>
      <c r="H13" s="1">
        <v>0.73580000000000001</v>
      </c>
      <c r="I13" s="1">
        <v>18.18</v>
      </c>
      <c r="S13" s="73"/>
      <c r="T13" s="1" t="s">
        <v>11</v>
      </c>
    </row>
    <row r="14" spans="1:28">
      <c r="A14" s="81"/>
      <c r="B14" s="1" t="s">
        <v>12</v>
      </c>
      <c r="C14" s="1">
        <v>0.68659999999999999</v>
      </c>
      <c r="D14" s="1">
        <v>0.79310000000000003</v>
      </c>
      <c r="E14" s="1">
        <v>0.60529999999999995</v>
      </c>
      <c r="F14" s="1">
        <v>0.55620000000000003</v>
      </c>
      <c r="G14" s="1">
        <v>0.79910000000000003</v>
      </c>
      <c r="H14" s="1">
        <v>0.80189999999999995</v>
      </c>
      <c r="I14" s="1">
        <v>0.1948</v>
      </c>
      <c r="K14" s="11">
        <v>0.61329999999999996</v>
      </c>
      <c r="L14" s="11">
        <v>0.79310000000000003</v>
      </c>
      <c r="M14" s="11">
        <v>0.5</v>
      </c>
      <c r="N14" s="11">
        <v>0.44469999999999998</v>
      </c>
      <c r="O14" s="11">
        <v>0.74719999999999998</v>
      </c>
      <c r="P14" s="11">
        <v>0.72640000000000005</v>
      </c>
      <c r="Q14" s="11">
        <v>0.29870000000000002</v>
      </c>
      <c r="S14" s="73"/>
      <c r="T14" s="1" t="s">
        <v>12</v>
      </c>
    </row>
    <row r="15" spans="1:28">
      <c r="A15" s="81"/>
      <c r="B15" s="1" t="s">
        <v>13</v>
      </c>
      <c r="C15" s="1">
        <v>0.77610000000000001</v>
      </c>
      <c r="D15" s="5">
        <v>0.89659999999999995</v>
      </c>
      <c r="E15" s="5">
        <v>0.68420000000000003</v>
      </c>
      <c r="F15" s="1">
        <v>0.68859999999999999</v>
      </c>
      <c r="G15" s="1">
        <v>0.87039999999999995</v>
      </c>
      <c r="H15" s="1">
        <v>0.85850000000000004</v>
      </c>
      <c r="I15" s="1">
        <v>15.58</v>
      </c>
      <c r="S15" s="73"/>
      <c r="T15" s="1" t="s">
        <v>13</v>
      </c>
    </row>
    <row r="16" spans="1:28">
      <c r="A16" s="81"/>
      <c r="B16" s="6" t="s">
        <v>14</v>
      </c>
      <c r="C16" s="7">
        <v>0.8</v>
      </c>
      <c r="D16" s="7">
        <v>0.8276</v>
      </c>
      <c r="E16" s="7">
        <v>0.7742</v>
      </c>
      <c r="F16" s="7">
        <v>0.72199999999999998</v>
      </c>
      <c r="G16" s="7">
        <v>0.86829999999999996</v>
      </c>
      <c r="H16" s="7">
        <v>0.88680000000000003</v>
      </c>
      <c r="I16" s="7">
        <v>9.0899999999999995E-2</v>
      </c>
      <c r="S16" s="73"/>
      <c r="T16" s="6" t="s">
        <v>14</v>
      </c>
      <c r="U16" s="8">
        <v>0.98370000000000002</v>
      </c>
      <c r="V16" s="8">
        <v>0.9869</v>
      </c>
      <c r="W16" s="8">
        <v>0.98050000000000004</v>
      </c>
      <c r="X16" s="8">
        <v>0.96730000000000005</v>
      </c>
      <c r="Y16" s="8">
        <v>0.98370000000000002</v>
      </c>
      <c r="Z16" s="8">
        <v>0.98370000000000002</v>
      </c>
      <c r="AA16" s="8">
        <v>1.95E-2</v>
      </c>
    </row>
    <row r="17" spans="1:27">
      <c r="A17" s="81"/>
      <c r="B17" s="6" t="s">
        <v>15</v>
      </c>
      <c r="C17" s="8">
        <v>0.83020000000000005</v>
      </c>
      <c r="D17" s="8">
        <v>0.75860000000000005</v>
      </c>
      <c r="E17" s="8">
        <v>0.91669999999999996</v>
      </c>
      <c r="F17" s="8">
        <v>0.78039999999999998</v>
      </c>
      <c r="G17" s="8">
        <v>0.86629999999999996</v>
      </c>
      <c r="H17" s="8">
        <v>0.91510000000000002</v>
      </c>
      <c r="I17" s="8">
        <v>2.5999999999999999E-2</v>
      </c>
      <c r="S17" s="73"/>
      <c r="T17" s="6" t="s">
        <v>15</v>
      </c>
      <c r="U17" s="6"/>
      <c r="V17" s="6"/>
      <c r="W17" s="6"/>
      <c r="X17" s="6"/>
      <c r="Y17" s="6"/>
      <c r="Z17" s="6"/>
      <c r="AA17" s="6"/>
    </row>
    <row r="18" spans="1:27">
      <c r="A18" s="81"/>
      <c r="B18" s="6" t="s">
        <v>16</v>
      </c>
      <c r="C18" s="8">
        <v>0.87270000000000003</v>
      </c>
      <c r="D18" s="8">
        <v>0.8276</v>
      </c>
      <c r="E18" s="8">
        <v>0.92310000000000003</v>
      </c>
      <c r="F18" s="8">
        <v>0.8306</v>
      </c>
      <c r="G18" s="8">
        <v>0.90080000000000005</v>
      </c>
      <c r="H18" s="8">
        <v>0.93400000000000005</v>
      </c>
      <c r="I18" s="8">
        <v>2.5999999999999999E-2</v>
      </c>
      <c r="S18" s="73"/>
      <c r="T18" s="6" t="s">
        <v>16</v>
      </c>
      <c r="U18" s="6"/>
      <c r="V18" s="6"/>
      <c r="W18" s="6"/>
      <c r="X18" s="6"/>
      <c r="Y18" s="6"/>
      <c r="Z18" s="6"/>
      <c r="AA18" s="6"/>
    </row>
    <row r="19" spans="1:27">
      <c r="A19" s="81"/>
      <c r="B19" s="9" t="s">
        <v>17</v>
      </c>
      <c r="C19" s="9"/>
      <c r="D19" s="10"/>
      <c r="E19" s="10"/>
      <c r="F19" s="9"/>
      <c r="G19" s="9"/>
      <c r="H19" s="9"/>
      <c r="I19" s="14"/>
      <c r="S19" s="73"/>
      <c r="T19" s="9" t="s">
        <v>17</v>
      </c>
      <c r="U19" s="9"/>
      <c r="V19" s="10"/>
      <c r="W19" s="10"/>
      <c r="X19" s="9"/>
      <c r="Y19" s="9"/>
      <c r="Z19" s="9"/>
      <c r="AA19" s="14"/>
    </row>
    <row r="20" spans="1:27">
      <c r="A20" s="81" t="s">
        <v>19</v>
      </c>
      <c r="B20" s="1" t="s">
        <v>9</v>
      </c>
      <c r="C20" s="1">
        <v>0.54630000000000001</v>
      </c>
      <c r="D20" s="1">
        <v>0.47970000000000002</v>
      </c>
      <c r="E20" s="1">
        <v>0.63439999999999996</v>
      </c>
      <c r="F20" s="1">
        <v>0.49809999999999999</v>
      </c>
      <c r="G20" s="1">
        <v>0.72030000000000005</v>
      </c>
      <c r="H20" s="1">
        <v>0.90110000000000001</v>
      </c>
      <c r="I20" s="1">
        <v>3.92</v>
      </c>
      <c r="S20" s="73" t="s">
        <v>33</v>
      </c>
      <c r="T20" s="1" t="s">
        <v>9</v>
      </c>
    </row>
    <row r="21" spans="1:27">
      <c r="A21" s="81"/>
      <c r="B21" s="1" t="s">
        <v>10</v>
      </c>
      <c r="C21" s="1">
        <v>0.47020000000000001</v>
      </c>
      <c r="D21" s="1">
        <v>0.64659999999999995</v>
      </c>
      <c r="E21" s="1">
        <v>0.3695</v>
      </c>
      <c r="F21" s="1">
        <v>0.3891</v>
      </c>
      <c r="G21" s="1">
        <v>0.74260000000000004</v>
      </c>
      <c r="H21" s="1">
        <v>0.81469999999999998</v>
      </c>
      <c r="I21" s="1">
        <v>16.079999999999998</v>
      </c>
      <c r="S21" s="73"/>
      <c r="T21" s="1" t="s">
        <v>10</v>
      </c>
    </row>
    <row r="22" spans="1:27">
      <c r="A22" s="81"/>
      <c r="B22" s="1" t="s">
        <v>11</v>
      </c>
      <c r="C22" s="1">
        <v>0.59379999999999999</v>
      </c>
      <c r="D22" s="1">
        <v>0.46339999999999998</v>
      </c>
      <c r="E22" s="1">
        <v>0.82609999999999995</v>
      </c>
      <c r="F22" s="1">
        <v>0.58240000000000003</v>
      </c>
      <c r="G22" s="1">
        <v>0.7248</v>
      </c>
      <c r="H22" s="1">
        <v>0.92130000000000001</v>
      </c>
      <c r="I22" s="1">
        <v>1.38</v>
      </c>
      <c r="S22" s="73"/>
      <c r="T22" s="1" t="s">
        <v>11</v>
      </c>
    </row>
    <row r="23" spans="1:27">
      <c r="A23" s="81"/>
      <c r="B23" s="1" t="s">
        <v>12</v>
      </c>
      <c r="C23" s="11">
        <v>0.66669999999999996</v>
      </c>
      <c r="D23" s="11">
        <v>0.878</v>
      </c>
      <c r="E23" s="11">
        <v>0.5373</v>
      </c>
      <c r="F23" s="11">
        <v>0.6321</v>
      </c>
      <c r="G23" s="11">
        <v>0.88549999999999995</v>
      </c>
      <c r="H23" s="11">
        <v>0.89100000000000001</v>
      </c>
      <c r="I23" s="11">
        <v>0.1071</v>
      </c>
      <c r="S23" s="73"/>
      <c r="T23" s="1" t="s">
        <v>12</v>
      </c>
    </row>
    <row r="24" spans="1:27">
      <c r="A24" s="81"/>
      <c r="B24" s="1" t="s">
        <v>13</v>
      </c>
      <c r="C24" s="1">
        <v>0.78510000000000002</v>
      </c>
      <c r="D24" s="5">
        <v>0.77239999999999998</v>
      </c>
      <c r="E24" s="5">
        <v>0.79830000000000001</v>
      </c>
      <c r="F24" s="1">
        <v>0.75539999999999996</v>
      </c>
      <c r="G24" s="1">
        <v>0.87239999999999995</v>
      </c>
      <c r="H24" s="1">
        <v>0.94750000000000001</v>
      </c>
      <c r="I24" s="1">
        <v>2.76</v>
      </c>
      <c r="S24" s="73"/>
      <c r="T24" s="1" t="s">
        <v>13</v>
      </c>
    </row>
    <row r="25" spans="1:27">
      <c r="A25" s="81"/>
      <c r="B25" s="6" t="s">
        <v>14</v>
      </c>
      <c r="C25" s="8">
        <v>0.81299999999999994</v>
      </c>
      <c r="D25" s="8">
        <v>0.81299999999999994</v>
      </c>
      <c r="E25" s="8">
        <v>0.81299999999999994</v>
      </c>
      <c r="F25" s="8">
        <v>0.78649999999999998</v>
      </c>
      <c r="G25" s="8">
        <v>0.89329999999999998</v>
      </c>
      <c r="H25" s="8">
        <v>0.9536</v>
      </c>
      <c r="I25" s="8">
        <v>2.6499999999999999E-2</v>
      </c>
      <c r="S25" s="73"/>
      <c r="T25" s="6" t="s">
        <v>14</v>
      </c>
      <c r="U25" s="8">
        <v>0.95989999999999998</v>
      </c>
      <c r="V25" s="8">
        <v>0.94840000000000002</v>
      </c>
      <c r="W25" s="8">
        <v>0.9718</v>
      </c>
      <c r="X25" s="8">
        <v>0.92230000000000001</v>
      </c>
      <c r="Y25" s="8">
        <v>0.96079999999999999</v>
      </c>
      <c r="Z25" s="8">
        <v>0.96099999999999997</v>
      </c>
      <c r="AA25" s="8">
        <v>2.6700000000000002E-2</v>
      </c>
    </row>
    <row r="26" spans="1:27">
      <c r="A26" s="81"/>
      <c r="B26" s="6" t="s">
        <v>15</v>
      </c>
      <c r="C26" s="8">
        <v>0.79520000000000002</v>
      </c>
      <c r="D26" s="8">
        <v>0.80489999999999995</v>
      </c>
      <c r="E26" s="8">
        <v>0.78569999999999995</v>
      </c>
      <c r="F26" s="8">
        <v>0.76580000000000004</v>
      </c>
      <c r="G26" s="8">
        <v>0.88690000000000002</v>
      </c>
      <c r="H26" s="8">
        <v>0.94850000000000001</v>
      </c>
      <c r="I26" s="8">
        <v>3.1099999999999999E-2</v>
      </c>
      <c r="S26" s="73"/>
      <c r="T26" s="6" t="s">
        <v>15</v>
      </c>
      <c r="U26" s="6"/>
      <c r="V26" s="6"/>
      <c r="W26" s="6"/>
      <c r="X26" s="6"/>
      <c r="Y26" s="6"/>
      <c r="Z26" s="6"/>
      <c r="AA26" s="6"/>
    </row>
    <row r="27" spans="1:27">
      <c r="A27" s="81"/>
      <c r="B27" s="6" t="s">
        <v>16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S27" s="73"/>
      <c r="T27" s="6" t="s">
        <v>16</v>
      </c>
      <c r="U27" s="6"/>
      <c r="V27" s="6"/>
      <c r="W27" s="6"/>
      <c r="X27" s="6"/>
      <c r="Y27" s="6"/>
      <c r="Z27" s="6"/>
      <c r="AA27" s="6"/>
    </row>
    <row r="28" spans="1:27">
      <c r="A28" s="81"/>
      <c r="B28" s="9" t="s">
        <v>17</v>
      </c>
      <c r="C28" s="9"/>
      <c r="D28" s="10"/>
      <c r="E28" s="10"/>
      <c r="F28" s="9"/>
      <c r="G28" s="9"/>
      <c r="H28" s="9"/>
      <c r="I28" s="14"/>
      <c r="S28" s="73"/>
      <c r="T28" s="9" t="s">
        <v>17</v>
      </c>
      <c r="U28" s="9"/>
      <c r="V28" s="10"/>
      <c r="W28" s="10"/>
      <c r="X28" s="9"/>
      <c r="Y28" s="9"/>
      <c r="Z28" s="9"/>
      <c r="AA28" s="14"/>
    </row>
    <row r="29" spans="1:27">
      <c r="A29" s="81" t="s">
        <v>20</v>
      </c>
      <c r="B29" s="1" t="s">
        <v>9</v>
      </c>
      <c r="C29" s="1">
        <v>0.71109999999999995</v>
      </c>
      <c r="D29" s="1">
        <v>0.66669999999999996</v>
      </c>
      <c r="E29" s="1">
        <v>0.76190000000000002</v>
      </c>
      <c r="F29" s="1">
        <v>0.46200000000000002</v>
      </c>
      <c r="G29" s="1">
        <v>0.72919999999999996</v>
      </c>
      <c r="H29" s="1">
        <v>0.72919999999999996</v>
      </c>
      <c r="I29" s="1">
        <v>20.83</v>
      </c>
      <c r="S29" s="73" t="s">
        <v>34</v>
      </c>
      <c r="T29" s="1" t="s">
        <v>9</v>
      </c>
    </row>
    <row r="30" spans="1:27">
      <c r="A30" s="81"/>
      <c r="B30" s="1" t="s">
        <v>10</v>
      </c>
      <c r="C30" s="1">
        <v>0.54900000000000004</v>
      </c>
      <c r="D30" s="1">
        <v>0.60870000000000002</v>
      </c>
      <c r="E30" s="1">
        <v>0.5</v>
      </c>
      <c r="F30" s="1">
        <v>4.9299999999999997E-2</v>
      </c>
      <c r="G30" s="1">
        <v>0.52429999999999999</v>
      </c>
      <c r="H30" s="1">
        <v>0.52080000000000004</v>
      </c>
      <c r="I30" s="1">
        <v>56</v>
      </c>
      <c r="S30" s="73"/>
      <c r="T30" s="1" t="s">
        <v>10</v>
      </c>
    </row>
    <row r="31" spans="1:27">
      <c r="A31" s="81"/>
      <c r="B31" s="1" t="s">
        <v>11</v>
      </c>
      <c r="C31" s="1">
        <v>0.70669999999999999</v>
      </c>
      <c r="D31" s="1">
        <v>0.73609999999999998</v>
      </c>
      <c r="E31" s="1">
        <v>0.67949999999999999</v>
      </c>
      <c r="F31" s="1">
        <v>0.39019999999999999</v>
      </c>
      <c r="G31" s="1">
        <v>0.69440000000000002</v>
      </c>
      <c r="H31" s="1">
        <v>0.69440000000000002</v>
      </c>
      <c r="I31" s="1">
        <v>34.72</v>
      </c>
      <c r="S31" s="73"/>
      <c r="T31" s="1" t="s">
        <v>11</v>
      </c>
    </row>
    <row r="32" spans="1:27">
      <c r="A32" s="81"/>
      <c r="B32" s="1" t="s">
        <v>12</v>
      </c>
      <c r="C32" s="11">
        <v>0.89510000000000001</v>
      </c>
      <c r="D32" s="11">
        <v>0.88890000000000002</v>
      </c>
      <c r="E32" s="11">
        <v>0.90139999999999998</v>
      </c>
      <c r="F32" s="11">
        <v>0.79169999999999996</v>
      </c>
      <c r="G32" s="11">
        <v>0.89580000000000004</v>
      </c>
      <c r="H32" s="11">
        <v>0.89580000000000004</v>
      </c>
      <c r="I32" s="11">
        <v>9.7199999999999995E-2</v>
      </c>
      <c r="S32" s="73"/>
      <c r="T32" s="1" t="s">
        <v>12</v>
      </c>
    </row>
    <row r="33" spans="1:28">
      <c r="A33" s="81"/>
      <c r="B33" s="1" t="s">
        <v>13</v>
      </c>
      <c r="C33" s="1">
        <v>0.92310000000000003</v>
      </c>
      <c r="D33" s="1">
        <v>0.91669999999999996</v>
      </c>
      <c r="E33" s="1">
        <v>0.92959999999999998</v>
      </c>
      <c r="F33" s="1">
        <v>0.84730000000000005</v>
      </c>
      <c r="G33" s="1">
        <v>0.92359999999999998</v>
      </c>
      <c r="H33" s="1">
        <v>0.92359999999999998</v>
      </c>
      <c r="I33" s="1">
        <v>6.94</v>
      </c>
      <c r="S33" s="73"/>
      <c r="T33" s="1" t="s">
        <v>13</v>
      </c>
    </row>
    <row r="34" spans="1:28" ht="17.25">
      <c r="A34" s="81"/>
      <c r="B34" s="6" t="s">
        <v>14</v>
      </c>
      <c r="C34" s="8">
        <v>0.93879999999999997</v>
      </c>
      <c r="D34" s="8">
        <v>0.95830000000000004</v>
      </c>
      <c r="E34" s="8">
        <v>0.92</v>
      </c>
      <c r="F34" s="8">
        <v>0.87580000000000002</v>
      </c>
      <c r="G34" s="8">
        <v>0.9375</v>
      </c>
      <c r="H34" s="8">
        <v>0.9375</v>
      </c>
      <c r="I34" s="8">
        <v>8.3299999999999999E-2</v>
      </c>
      <c r="S34" s="73"/>
      <c r="T34" s="6" t="s">
        <v>14</v>
      </c>
      <c r="U34" s="6"/>
      <c r="V34" s="6"/>
      <c r="W34" s="6"/>
      <c r="X34" s="6"/>
      <c r="Y34" s="6"/>
      <c r="Z34" s="6"/>
      <c r="AA34" s="6"/>
      <c r="AB34" s="15" t="s">
        <v>29</v>
      </c>
    </row>
    <row r="35" spans="1:28">
      <c r="A35" s="81"/>
      <c r="B35" s="6" t="s">
        <v>15</v>
      </c>
      <c r="C35" s="8">
        <v>0.94520000000000004</v>
      </c>
      <c r="D35" s="8">
        <v>0.95830000000000004</v>
      </c>
      <c r="E35" s="8">
        <v>0.93240000000000001</v>
      </c>
      <c r="F35" s="8">
        <v>0.88919999999999999</v>
      </c>
      <c r="G35" s="8">
        <v>0.94440000000000002</v>
      </c>
      <c r="H35" s="8">
        <v>0.94440000000000002</v>
      </c>
      <c r="I35" s="8">
        <v>6.9400000000000003E-2</v>
      </c>
      <c r="S35" s="73"/>
      <c r="T35" s="6" t="s">
        <v>15</v>
      </c>
      <c r="U35" s="6"/>
      <c r="V35" s="6"/>
      <c r="W35" s="6"/>
      <c r="X35" s="6"/>
      <c r="Y35" s="6"/>
      <c r="Z35" s="6"/>
      <c r="AA35" s="6"/>
    </row>
    <row r="36" spans="1:28">
      <c r="A36" s="81"/>
      <c r="B36" s="6" t="s">
        <v>16</v>
      </c>
      <c r="C36" s="8">
        <v>0.95169999999999999</v>
      </c>
      <c r="D36" s="8">
        <v>0.95830000000000004</v>
      </c>
      <c r="E36" s="8">
        <v>0.94520000000000004</v>
      </c>
      <c r="F36" s="8">
        <v>0.90290000000000004</v>
      </c>
      <c r="G36" s="8">
        <v>0.95140000000000002</v>
      </c>
      <c r="H36" s="8">
        <v>0.95140000000000002</v>
      </c>
      <c r="I36" s="8">
        <v>5.5599999999999997E-2</v>
      </c>
      <c r="S36" s="73"/>
      <c r="T36" s="6" t="s">
        <v>16</v>
      </c>
      <c r="U36" s="6"/>
      <c r="V36" s="6"/>
      <c r="W36" s="6"/>
      <c r="X36" s="6"/>
      <c r="Y36" s="6"/>
      <c r="Z36" s="6"/>
      <c r="AA36" s="6"/>
    </row>
    <row r="37" spans="1:28">
      <c r="A37" s="81"/>
      <c r="B37" s="9" t="s">
        <v>17</v>
      </c>
      <c r="C37" s="9"/>
      <c r="D37" s="10"/>
      <c r="E37" s="10"/>
      <c r="F37" s="9"/>
      <c r="G37" s="9"/>
      <c r="H37" s="9"/>
      <c r="I37" s="14"/>
      <c r="S37" s="73"/>
      <c r="T37" s="9" t="s">
        <v>17</v>
      </c>
      <c r="U37" s="9"/>
      <c r="V37" s="10"/>
      <c r="W37" s="10"/>
      <c r="X37" s="9"/>
      <c r="Y37" s="9"/>
      <c r="Z37" s="9"/>
      <c r="AA37" s="14"/>
    </row>
    <row r="38" spans="1:28">
      <c r="A38" s="81" t="s">
        <v>21</v>
      </c>
      <c r="B38" s="1" t="s">
        <v>9</v>
      </c>
      <c r="C38" s="1">
        <v>0.50580000000000003</v>
      </c>
      <c r="D38" s="1">
        <v>0.38109999999999999</v>
      </c>
      <c r="E38" s="1">
        <v>0.75170000000000003</v>
      </c>
      <c r="F38" s="1">
        <v>0.49759999999999999</v>
      </c>
      <c r="G38" s="1">
        <v>0.68259999999999998</v>
      </c>
      <c r="H38" s="1">
        <v>0.91639999999999999</v>
      </c>
      <c r="I38" s="1">
        <v>1.59</v>
      </c>
      <c r="S38" s="73" t="s">
        <v>35</v>
      </c>
      <c r="T38" s="1" t="s">
        <v>9</v>
      </c>
    </row>
    <row r="39" spans="1:28">
      <c r="A39" s="81"/>
      <c r="B39" s="1" t="s">
        <v>10</v>
      </c>
      <c r="C39" s="1">
        <v>0.35189999999999999</v>
      </c>
      <c r="D39" s="1">
        <v>0.69920000000000004</v>
      </c>
      <c r="E39" s="1">
        <v>0.2351</v>
      </c>
      <c r="F39" s="1">
        <v>0.26579999999999998</v>
      </c>
      <c r="G39" s="1">
        <v>0.69640000000000002</v>
      </c>
      <c r="H39" s="1">
        <v>0.69420000000000004</v>
      </c>
      <c r="I39" s="1">
        <v>30.65</v>
      </c>
      <c r="S39" s="73"/>
      <c r="T39" s="1" t="s">
        <v>10</v>
      </c>
    </row>
    <row r="40" spans="1:28">
      <c r="A40" s="81"/>
      <c r="B40" s="1" t="s">
        <v>11</v>
      </c>
      <c r="C40" s="1">
        <v>0.33069999999999999</v>
      </c>
      <c r="D40" s="1">
        <v>0.21679999999999999</v>
      </c>
      <c r="E40" s="1">
        <v>0.6966</v>
      </c>
      <c r="F40" s="1">
        <v>0.35220000000000001</v>
      </c>
      <c r="G40" s="1">
        <v>0.60240000000000005</v>
      </c>
      <c r="H40" s="1">
        <v>0.90149999999999997</v>
      </c>
      <c r="I40" s="1">
        <v>1.19</v>
      </c>
      <c r="S40" s="73"/>
      <c r="T40" s="1" t="s">
        <v>11</v>
      </c>
    </row>
    <row r="41" spans="1:28">
      <c r="A41" s="81"/>
      <c r="B41" s="1" t="s">
        <v>12</v>
      </c>
      <c r="C41" s="11">
        <v>0.74950000000000006</v>
      </c>
      <c r="D41" s="11">
        <v>0.69579999999999997</v>
      </c>
      <c r="E41" s="11">
        <v>0.81220000000000003</v>
      </c>
      <c r="F41" s="11">
        <v>0.72330000000000005</v>
      </c>
      <c r="G41" s="11">
        <v>0.8377</v>
      </c>
      <c r="H41" s="11">
        <v>0.94779999999999998</v>
      </c>
      <c r="I41" s="11">
        <v>2.0299999999999999E-2</v>
      </c>
      <c r="K41" s="11">
        <v>0.75549999999999995</v>
      </c>
      <c r="L41" s="11">
        <v>0.6643</v>
      </c>
      <c r="M41" s="11">
        <v>0.87560000000000004</v>
      </c>
      <c r="N41" s="11">
        <v>0.73780000000000001</v>
      </c>
      <c r="O41" s="11">
        <v>0.82620000000000005</v>
      </c>
      <c r="P41" s="11">
        <v>0.95169999999999999</v>
      </c>
      <c r="Q41" s="11">
        <v>1.1900000000000001E-2</v>
      </c>
      <c r="S41" s="73"/>
      <c r="T41" s="1" t="s">
        <v>12</v>
      </c>
    </row>
    <row r="42" spans="1:28">
      <c r="A42" s="81"/>
      <c r="B42" s="1" t="s">
        <v>13</v>
      </c>
      <c r="C42" s="1">
        <v>0.79259999999999997</v>
      </c>
      <c r="D42" s="12">
        <v>0.89510000000000001</v>
      </c>
      <c r="E42" s="1">
        <v>0.71109999999999995</v>
      </c>
      <c r="F42" s="1">
        <v>0.76949999999999996</v>
      </c>
      <c r="G42" s="12">
        <v>0.92459999999999998</v>
      </c>
      <c r="H42" s="1">
        <v>0.94740000000000002</v>
      </c>
      <c r="I42" s="1">
        <v>4.5999999999999996</v>
      </c>
      <c r="S42" s="73"/>
      <c r="T42" s="1" t="s">
        <v>13</v>
      </c>
    </row>
    <row r="43" spans="1:28" ht="17.25">
      <c r="A43" s="81"/>
      <c r="B43" s="6" t="s">
        <v>14</v>
      </c>
      <c r="C43" s="8">
        <v>0.8155</v>
      </c>
      <c r="D43" s="8">
        <v>0.88109999999999999</v>
      </c>
      <c r="E43" s="8">
        <v>0.75900000000000001</v>
      </c>
      <c r="F43" s="8">
        <v>0.79310000000000003</v>
      </c>
      <c r="G43" s="8">
        <v>0.92290000000000005</v>
      </c>
      <c r="H43" s="8">
        <v>0.95530000000000004</v>
      </c>
      <c r="I43" s="8">
        <v>3.5400000000000001E-2</v>
      </c>
      <c r="S43" s="73"/>
      <c r="T43" s="6" t="s">
        <v>14</v>
      </c>
      <c r="U43" s="6"/>
      <c r="V43" s="6"/>
      <c r="W43" s="6"/>
      <c r="X43" s="6"/>
      <c r="Y43" s="6"/>
      <c r="Z43" s="6"/>
      <c r="AA43" s="6"/>
      <c r="AB43" s="15" t="s">
        <v>29</v>
      </c>
    </row>
    <row r="44" spans="1:28">
      <c r="A44" s="81"/>
      <c r="B44" s="6" t="s">
        <v>15</v>
      </c>
      <c r="C44" s="6"/>
      <c r="D44" s="6"/>
      <c r="E44" s="6"/>
      <c r="F44" s="6"/>
      <c r="G44" s="6"/>
      <c r="H44" s="6"/>
      <c r="I44" s="6"/>
      <c r="S44" s="73"/>
      <c r="T44" s="6" t="s">
        <v>15</v>
      </c>
      <c r="U44" s="6"/>
      <c r="V44" s="6"/>
      <c r="W44" s="6"/>
      <c r="X44" s="6"/>
      <c r="Y44" s="6"/>
      <c r="Z44" s="6"/>
      <c r="AA44" s="6"/>
    </row>
    <row r="45" spans="1:28">
      <c r="A45" s="81"/>
      <c r="B45" s="6" t="s">
        <v>16</v>
      </c>
      <c r="C45" s="6"/>
      <c r="D45" s="6"/>
      <c r="E45" s="6"/>
      <c r="F45" s="6"/>
      <c r="G45" s="6"/>
      <c r="H45" s="6"/>
      <c r="I45" s="6"/>
      <c r="S45" s="73"/>
      <c r="T45" s="6" t="s">
        <v>16</v>
      </c>
      <c r="U45" s="6"/>
      <c r="V45" s="6"/>
      <c r="W45" s="6"/>
      <c r="X45" s="6"/>
      <c r="Y45" s="6"/>
      <c r="Z45" s="6"/>
      <c r="AA45" s="6"/>
    </row>
    <row r="46" spans="1:28">
      <c r="A46" s="81"/>
      <c r="B46" s="9" t="s">
        <v>17</v>
      </c>
      <c r="C46" s="9"/>
      <c r="D46" s="10"/>
      <c r="E46" s="10"/>
      <c r="F46" s="9"/>
      <c r="G46" s="9"/>
      <c r="H46" s="9"/>
      <c r="I46" s="14"/>
      <c r="S46" s="73"/>
      <c r="T46" s="9" t="s">
        <v>17</v>
      </c>
      <c r="U46" s="9"/>
      <c r="V46" s="10"/>
      <c r="W46" s="10"/>
      <c r="X46" s="9"/>
      <c r="Y46" s="9"/>
      <c r="Z46" s="9"/>
      <c r="AA46" s="14"/>
    </row>
    <row r="47" spans="1:28">
      <c r="A47" s="81" t="s">
        <v>22</v>
      </c>
      <c r="B47" s="1" t="s">
        <v>9</v>
      </c>
      <c r="C47" s="1">
        <v>0.59419999999999995</v>
      </c>
      <c r="D47" s="1">
        <v>0.4713</v>
      </c>
      <c r="E47" s="1">
        <v>0.80389999999999995</v>
      </c>
      <c r="F47" s="1">
        <v>0.57640000000000002</v>
      </c>
      <c r="G47" s="1">
        <v>0.72719999999999996</v>
      </c>
      <c r="H47" s="1">
        <v>0.91800000000000004</v>
      </c>
      <c r="I47" s="1">
        <v>1.68</v>
      </c>
      <c r="S47" s="73" t="s">
        <v>36</v>
      </c>
      <c r="T47" s="1" t="s">
        <v>9</v>
      </c>
    </row>
    <row r="48" spans="1:28">
      <c r="A48" s="81"/>
      <c r="B48" s="1" t="s">
        <v>10</v>
      </c>
      <c r="C48" s="1">
        <v>0.52510000000000001</v>
      </c>
      <c r="D48" s="1">
        <v>0.85</v>
      </c>
      <c r="E48" s="1">
        <v>0.37990000000000002</v>
      </c>
      <c r="F48" s="1">
        <v>0.4713</v>
      </c>
      <c r="G48" s="1">
        <v>0.81659999999999999</v>
      </c>
      <c r="H48" s="1">
        <v>0.79220000000000002</v>
      </c>
      <c r="I48" s="1">
        <v>21.68</v>
      </c>
      <c r="S48" s="73"/>
      <c r="T48" s="1" t="s">
        <v>10</v>
      </c>
    </row>
    <row r="49" spans="1:27">
      <c r="A49" s="81"/>
      <c r="B49" s="1" t="s">
        <v>11</v>
      </c>
      <c r="C49" s="1">
        <v>0.377</v>
      </c>
      <c r="D49" s="1">
        <v>0.26440000000000002</v>
      </c>
      <c r="E49" s="1">
        <v>0.65710000000000002</v>
      </c>
      <c r="F49" s="1">
        <v>0.36930000000000002</v>
      </c>
      <c r="G49" s="1">
        <v>0.62209999999999999</v>
      </c>
      <c r="H49" s="1">
        <v>0.88870000000000005</v>
      </c>
      <c r="I49" s="1">
        <v>2.0099999999999998</v>
      </c>
      <c r="S49" s="73"/>
      <c r="T49" s="1" t="s">
        <v>11</v>
      </c>
    </row>
    <row r="50" spans="1:27">
      <c r="A50" s="81"/>
      <c r="B50" s="1" t="s">
        <v>12</v>
      </c>
      <c r="C50" s="11">
        <v>0.86170000000000002</v>
      </c>
      <c r="D50" s="11">
        <v>0.93100000000000005</v>
      </c>
      <c r="E50" s="11">
        <v>0.80200000000000005</v>
      </c>
      <c r="F50" s="11">
        <v>0.84289999999999998</v>
      </c>
      <c r="G50" s="11">
        <v>0.94869999999999999</v>
      </c>
      <c r="H50" s="11">
        <v>0.96189999999999998</v>
      </c>
      <c r="I50" s="11">
        <v>3.3599999999999998E-2</v>
      </c>
      <c r="S50" s="73"/>
      <c r="T50" s="1" t="s">
        <v>12</v>
      </c>
    </row>
    <row r="51" spans="1:27">
      <c r="A51" s="81"/>
      <c r="B51" s="1" t="s">
        <v>13</v>
      </c>
      <c r="C51" s="1">
        <v>0.82630000000000003</v>
      </c>
      <c r="D51" s="5">
        <v>0.79310000000000003</v>
      </c>
      <c r="E51" s="5">
        <v>0.86250000000000004</v>
      </c>
      <c r="F51" s="1">
        <v>0.80310000000000004</v>
      </c>
      <c r="G51" s="1">
        <v>0.88729999999999998</v>
      </c>
      <c r="H51" s="1">
        <v>0.95750000000000002</v>
      </c>
      <c r="I51" s="1">
        <v>1.85</v>
      </c>
      <c r="S51" s="73"/>
      <c r="T51" s="1" t="s">
        <v>13</v>
      </c>
    </row>
    <row r="52" spans="1:27">
      <c r="A52" s="81"/>
      <c r="B52" s="6" t="s">
        <v>14</v>
      </c>
      <c r="C52" s="7">
        <v>0.82350000000000001</v>
      </c>
      <c r="D52" s="7">
        <v>0.80459999999999998</v>
      </c>
      <c r="E52" s="7">
        <v>0.84340000000000004</v>
      </c>
      <c r="F52" s="7">
        <v>0.79879999999999995</v>
      </c>
      <c r="G52" s="7">
        <v>0.89139999999999997</v>
      </c>
      <c r="H52" s="7">
        <v>0.95609999999999995</v>
      </c>
      <c r="I52" s="7">
        <v>2.18E-2</v>
      </c>
      <c r="S52" s="73"/>
      <c r="T52" s="6" t="s">
        <v>14</v>
      </c>
      <c r="U52" s="8">
        <v>0.94740000000000002</v>
      </c>
      <c r="V52" s="8">
        <v>0.93679999999999997</v>
      </c>
      <c r="W52" s="8">
        <v>0.95820000000000005</v>
      </c>
      <c r="X52" s="8">
        <v>0.89800000000000002</v>
      </c>
      <c r="Y52" s="8">
        <v>0.94869999999999999</v>
      </c>
      <c r="Z52" s="8">
        <v>0.94889999999999997</v>
      </c>
      <c r="AA52" s="8">
        <v>3.9399999999999998E-2</v>
      </c>
    </row>
    <row r="53" spans="1:27">
      <c r="A53" s="81"/>
      <c r="B53" s="6" t="s">
        <v>15</v>
      </c>
      <c r="C53" s="8">
        <v>0.73740000000000006</v>
      </c>
      <c r="D53" s="8">
        <v>0.83909999999999996</v>
      </c>
      <c r="E53" s="8">
        <v>0.65769999999999995</v>
      </c>
      <c r="F53" s="8">
        <v>0.70069999999999999</v>
      </c>
      <c r="G53" s="8">
        <v>0.88770000000000004</v>
      </c>
      <c r="H53" s="8">
        <v>0.92390000000000005</v>
      </c>
      <c r="I53" s="8">
        <v>6.3799999999999996E-2</v>
      </c>
      <c r="S53" s="73"/>
      <c r="T53" s="6" t="s">
        <v>15</v>
      </c>
      <c r="U53" s="6"/>
      <c r="V53" s="6"/>
      <c r="W53" s="6"/>
      <c r="X53" s="6"/>
      <c r="Y53" s="6"/>
      <c r="Z53" s="6"/>
      <c r="AA53" s="6"/>
    </row>
    <row r="54" spans="1:27">
      <c r="A54" s="81"/>
      <c r="B54" s="6" t="s">
        <v>16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S54" s="73"/>
      <c r="T54" s="6" t="s">
        <v>16</v>
      </c>
      <c r="U54" s="6"/>
      <c r="V54" s="6"/>
      <c r="W54" s="6"/>
      <c r="X54" s="6"/>
      <c r="Y54" s="6"/>
      <c r="Z54" s="6"/>
      <c r="AA54" s="6"/>
    </row>
    <row r="55" spans="1:27">
      <c r="A55" s="81"/>
      <c r="B55" s="9" t="s">
        <v>17</v>
      </c>
      <c r="C55" s="9"/>
      <c r="D55" s="10"/>
      <c r="E55" s="10"/>
      <c r="F55" s="9"/>
      <c r="G55" s="9"/>
      <c r="H55" s="9"/>
      <c r="I55" s="14"/>
      <c r="S55" s="73"/>
      <c r="T55" s="9" t="s">
        <v>17</v>
      </c>
      <c r="U55" s="9"/>
      <c r="V55" s="10"/>
      <c r="W55" s="10"/>
      <c r="X55" s="9"/>
      <c r="Y55" s="9"/>
      <c r="Z55" s="9"/>
      <c r="AA55" s="14"/>
    </row>
    <row r="56" spans="1:27">
      <c r="A56" s="81" t="s">
        <v>23</v>
      </c>
      <c r="B56" s="1" t="s">
        <v>9</v>
      </c>
      <c r="C56" s="1">
        <v>0.57679999999999998</v>
      </c>
      <c r="D56" s="1">
        <v>0.47210000000000002</v>
      </c>
      <c r="E56" s="1">
        <v>0.74119999999999997</v>
      </c>
      <c r="F56" s="1">
        <v>0.54859999999999998</v>
      </c>
      <c r="G56" s="1">
        <v>0.72440000000000004</v>
      </c>
      <c r="H56" s="1">
        <v>0.91459999999999997</v>
      </c>
      <c r="I56" s="1">
        <v>2.3199999999999998</v>
      </c>
      <c r="S56" s="73" t="s">
        <v>37</v>
      </c>
      <c r="T56" s="1" t="s">
        <v>9</v>
      </c>
    </row>
    <row r="57" spans="1:27">
      <c r="A57" s="81"/>
      <c r="B57" s="1" t="s">
        <v>10</v>
      </c>
      <c r="C57" s="1">
        <v>0.2752</v>
      </c>
      <c r="D57" s="1">
        <v>0.54339999999999999</v>
      </c>
      <c r="E57" s="1">
        <v>0.18429999999999999</v>
      </c>
      <c r="F57" s="1">
        <v>0.1394</v>
      </c>
      <c r="G57" s="1">
        <v>0.60189999999999999</v>
      </c>
      <c r="H57" s="1">
        <v>0.64600000000000002</v>
      </c>
      <c r="I57" s="1">
        <v>33.950000000000003</v>
      </c>
      <c r="S57" s="73"/>
      <c r="T57" s="1" t="s">
        <v>10</v>
      </c>
    </row>
    <row r="58" spans="1:27">
      <c r="A58" s="81"/>
      <c r="B58" s="1" t="s">
        <v>11</v>
      </c>
      <c r="C58" s="1">
        <v>0.371</v>
      </c>
      <c r="D58" s="1">
        <v>0.24299999999999999</v>
      </c>
      <c r="E58" s="1">
        <v>0.78380000000000005</v>
      </c>
      <c r="F58" s="1">
        <v>0.40050000000000002</v>
      </c>
      <c r="G58" s="1">
        <v>0.61680000000000001</v>
      </c>
      <c r="H58" s="1">
        <v>0.89839999999999998</v>
      </c>
      <c r="I58" s="1">
        <v>0.94</v>
      </c>
      <c r="S58" s="73"/>
      <c r="T58" s="1" t="s">
        <v>11</v>
      </c>
    </row>
    <row r="59" spans="1:27">
      <c r="A59" s="81"/>
      <c r="B59" s="1" t="s">
        <v>12</v>
      </c>
      <c r="C59" s="11">
        <v>0.77680000000000005</v>
      </c>
      <c r="D59" s="11">
        <v>0.74860000000000004</v>
      </c>
      <c r="E59" s="11">
        <v>0.80720000000000003</v>
      </c>
      <c r="F59" s="11">
        <v>0.74739999999999995</v>
      </c>
      <c r="G59" s="11">
        <v>0.86170000000000002</v>
      </c>
      <c r="H59" s="11">
        <v>0.94699999999999995</v>
      </c>
      <c r="I59" s="11">
        <v>2.5100000000000001E-2</v>
      </c>
      <c r="S59" s="73"/>
      <c r="T59" s="1" t="s">
        <v>12</v>
      </c>
    </row>
    <row r="60" spans="1:27">
      <c r="A60" s="81"/>
      <c r="B60" s="1" t="s">
        <v>13</v>
      </c>
      <c r="C60" s="1">
        <v>0.7681</v>
      </c>
      <c r="D60" s="1">
        <v>0.84640000000000004</v>
      </c>
      <c r="E60" s="1">
        <v>0.70299999999999996</v>
      </c>
      <c r="F60" s="1">
        <v>0.73619999999999997</v>
      </c>
      <c r="G60" s="1">
        <v>0.89800000000000002</v>
      </c>
      <c r="H60" s="1">
        <v>0.93700000000000006</v>
      </c>
      <c r="I60" s="1">
        <v>5.03</v>
      </c>
      <c r="S60" s="73"/>
      <c r="T60" s="1" t="s">
        <v>13</v>
      </c>
    </row>
    <row r="61" spans="1:27">
      <c r="A61" s="81"/>
      <c r="B61" s="6" t="s">
        <v>14</v>
      </c>
      <c r="C61" s="8">
        <v>0.71840000000000004</v>
      </c>
      <c r="D61" s="8">
        <v>0.84079999999999999</v>
      </c>
      <c r="E61" s="8">
        <v>0.62709999999999999</v>
      </c>
      <c r="F61" s="8">
        <v>0.68189999999999995</v>
      </c>
      <c r="G61" s="8">
        <v>0.88519999999999999</v>
      </c>
      <c r="H61" s="8">
        <v>0.91869999999999996</v>
      </c>
      <c r="I61" s="8">
        <v>7.0300000000000001E-2</v>
      </c>
      <c r="S61" s="73"/>
      <c r="T61" s="6" t="s">
        <v>14</v>
      </c>
      <c r="U61" s="8">
        <v>0.98060000000000003</v>
      </c>
      <c r="V61" s="8">
        <v>0.97689999999999999</v>
      </c>
      <c r="W61" s="8">
        <v>0.98419999999999996</v>
      </c>
      <c r="X61" s="8">
        <v>0.96</v>
      </c>
      <c r="Y61" s="8">
        <v>0.98009999999999997</v>
      </c>
      <c r="Z61" s="8">
        <v>0.98</v>
      </c>
      <c r="AA61" s="8">
        <v>1.67E-2</v>
      </c>
    </row>
    <row r="62" spans="1:27">
      <c r="A62" s="81"/>
      <c r="B62" s="6" t="s">
        <v>15</v>
      </c>
      <c r="C62" s="6"/>
      <c r="D62" s="6"/>
      <c r="E62" s="6"/>
      <c r="F62" s="6"/>
      <c r="G62" s="6"/>
      <c r="H62" s="6"/>
      <c r="I62" s="6"/>
      <c r="S62" s="73"/>
      <c r="T62" s="6" t="s">
        <v>15</v>
      </c>
      <c r="U62" s="6"/>
      <c r="V62" s="6"/>
      <c r="W62" s="6"/>
      <c r="X62" s="6"/>
      <c r="Y62" s="6"/>
      <c r="Z62" s="6"/>
      <c r="AA62" s="6"/>
    </row>
    <row r="63" spans="1:27">
      <c r="A63" s="81"/>
      <c r="B63" s="6" t="s">
        <v>16</v>
      </c>
      <c r="C63" s="6"/>
      <c r="D63" s="6"/>
      <c r="E63" s="6"/>
      <c r="F63" s="6"/>
      <c r="G63" s="6"/>
      <c r="H63" s="6"/>
      <c r="I63" s="6"/>
      <c r="S63" s="73"/>
      <c r="T63" s="6" t="s">
        <v>16</v>
      </c>
      <c r="U63" s="6"/>
      <c r="V63" s="6"/>
      <c r="W63" s="6"/>
      <c r="X63" s="6"/>
      <c r="Y63" s="6"/>
      <c r="Z63" s="6"/>
      <c r="AA63" s="6"/>
    </row>
    <row r="64" spans="1:27">
      <c r="A64" s="81"/>
      <c r="B64" s="9" t="s">
        <v>17</v>
      </c>
      <c r="C64" s="9"/>
      <c r="D64" s="10"/>
      <c r="E64" s="10"/>
      <c r="F64" s="9"/>
      <c r="G64" s="9"/>
      <c r="H64" s="9"/>
      <c r="I64" s="14"/>
      <c r="S64" s="73"/>
      <c r="T64" s="9" t="s">
        <v>17</v>
      </c>
      <c r="U64" s="9"/>
      <c r="V64" s="10"/>
      <c r="W64" s="10"/>
      <c r="X64" s="9"/>
      <c r="Y64" s="9"/>
      <c r="Z64" s="9"/>
      <c r="AA64" s="14"/>
    </row>
    <row r="65" spans="1:28">
      <c r="A65" s="81" t="s">
        <v>24</v>
      </c>
      <c r="B65" s="1" t="s">
        <v>9</v>
      </c>
      <c r="C65" s="1">
        <v>0.67579999999999996</v>
      </c>
      <c r="D65" s="1">
        <v>0.58579999999999999</v>
      </c>
      <c r="E65" s="1">
        <v>0.7984</v>
      </c>
      <c r="F65" s="1">
        <v>0.64490000000000003</v>
      </c>
      <c r="G65" s="1">
        <v>0.78169999999999995</v>
      </c>
      <c r="H65" s="1">
        <v>0.92620000000000002</v>
      </c>
      <c r="I65" s="1">
        <v>2.2400000000000002</v>
      </c>
      <c r="S65" s="73" t="s">
        <v>38</v>
      </c>
      <c r="T65" s="1" t="s">
        <v>9</v>
      </c>
    </row>
    <row r="66" spans="1:28">
      <c r="A66" s="81"/>
      <c r="B66" s="1" t="s">
        <v>10</v>
      </c>
      <c r="C66" s="1">
        <v>0.42949999999999999</v>
      </c>
      <c r="D66" s="1">
        <v>0.61939999999999995</v>
      </c>
      <c r="E66" s="1">
        <v>0.32879999999999998</v>
      </c>
      <c r="F66" s="1">
        <v>0.33160000000000001</v>
      </c>
      <c r="G66" s="1">
        <v>0.71140000000000003</v>
      </c>
      <c r="H66" s="1">
        <v>0.77859999999999996</v>
      </c>
      <c r="I66" s="1">
        <v>19.66</v>
      </c>
      <c r="S66" s="73"/>
      <c r="T66" s="1" t="s">
        <v>10</v>
      </c>
    </row>
    <row r="67" spans="1:28">
      <c r="A67" s="81"/>
      <c r="B67" s="1" t="s">
        <v>11</v>
      </c>
      <c r="C67" s="1">
        <v>0.1283</v>
      </c>
      <c r="D67" s="1">
        <v>7.0999999999999994E-2</v>
      </c>
      <c r="E67" s="1">
        <v>0.66669999999999996</v>
      </c>
      <c r="F67" s="1">
        <v>0.1888</v>
      </c>
      <c r="G67" s="1">
        <v>0.53280000000000005</v>
      </c>
      <c r="H67" s="1">
        <v>0.87329999999999997</v>
      </c>
      <c r="I67" s="1">
        <v>0.54</v>
      </c>
      <c r="S67" s="73"/>
      <c r="T67" s="1" t="s">
        <v>11</v>
      </c>
    </row>
    <row r="68" spans="1:28">
      <c r="A68" s="81"/>
      <c r="B68" s="1" t="s">
        <v>12</v>
      </c>
      <c r="C68" s="11">
        <v>0.79420000000000002</v>
      </c>
      <c r="D68" s="11">
        <v>0.81069999999999998</v>
      </c>
      <c r="E68" s="11">
        <v>0.77839999999999998</v>
      </c>
      <c r="F68" s="11">
        <v>0.76259999999999994</v>
      </c>
      <c r="G68" s="11">
        <v>0.88790000000000002</v>
      </c>
      <c r="H68" s="11">
        <v>0.94479999999999997</v>
      </c>
      <c r="I68" s="11">
        <v>3.49E-2</v>
      </c>
      <c r="S68" s="73"/>
      <c r="T68" s="1" t="s">
        <v>12</v>
      </c>
    </row>
    <row r="69" spans="1:28">
      <c r="A69" s="81"/>
      <c r="B69" s="1" t="s">
        <v>13</v>
      </c>
      <c r="C69" s="1">
        <v>0.80269999999999997</v>
      </c>
      <c r="D69" s="5">
        <v>0.68820000000000003</v>
      </c>
      <c r="E69" s="5">
        <v>0.94399999999999995</v>
      </c>
      <c r="F69" s="1">
        <v>0.78920000000000001</v>
      </c>
      <c r="G69" s="1">
        <v>0.84599999999999997</v>
      </c>
      <c r="H69" s="1">
        <v>0.95489999999999997</v>
      </c>
      <c r="I69" s="1">
        <v>0.63</v>
      </c>
      <c r="S69" s="73"/>
      <c r="T69" s="1" t="s">
        <v>13</v>
      </c>
    </row>
    <row r="70" spans="1:28">
      <c r="A70" s="81"/>
      <c r="B70" s="6" t="s">
        <v>14</v>
      </c>
      <c r="C70" s="8">
        <v>0.74809999999999999</v>
      </c>
      <c r="D70" s="8">
        <v>0.85209999999999997</v>
      </c>
      <c r="E70" s="8">
        <v>0.66669999999999996</v>
      </c>
      <c r="F70" s="8">
        <v>0.71179999999999999</v>
      </c>
      <c r="G70" s="8">
        <v>0.89380000000000004</v>
      </c>
      <c r="H70" s="8">
        <v>0.92459999999999998</v>
      </c>
      <c r="I70" s="8">
        <v>6.4399999999999999E-2</v>
      </c>
      <c r="S70" s="73"/>
      <c r="T70" s="6" t="s">
        <v>14</v>
      </c>
      <c r="U70" s="8">
        <v>0.97799999999999998</v>
      </c>
      <c r="V70" s="8">
        <v>0.97389999999999999</v>
      </c>
      <c r="W70" s="8">
        <v>0.98219999999999996</v>
      </c>
      <c r="X70" s="8">
        <v>0.9556</v>
      </c>
      <c r="Y70" s="8">
        <v>0.97789999999999999</v>
      </c>
      <c r="Z70" s="8">
        <v>0.9778</v>
      </c>
      <c r="AA70" s="8">
        <v>1.8200000000000001E-2</v>
      </c>
    </row>
    <row r="71" spans="1:28">
      <c r="A71" s="81"/>
      <c r="B71" s="6" t="s">
        <v>15</v>
      </c>
      <c r="C71" s="8">
        <v>0.76919999999999999</v>
      </c>
      <c r="D71" s="8">
        <v>0.79879999999999995</v>
      </c>
      <c r="E71" s="8">
        <v>0.74180000000000001</v>
      </c>
      <c r="F71" s="8">
        <v>0.73350000000000004</v>
      </c>
      <c r="G71" s="8">
        <v>0.87839999999999996</v>
      </c>
      <c r="H71" s="8">
        <v>0.93710000000000004</v>
      </c>
      <c r="I71" s="8">
        <v>4.2000000000000003E-2</v>
      </c>
      <c r="S71" s="73"/>
      <c r="T71" s="6" t="s">
        <v>15</v>
      </c>
      <c r="U71" s="8">
        <v>0.97799999999999998</v>
      </c>
      <c r="V71" s="8">
        <v>0.97209999999999996</v>
      </c>
      <c r="W71" s="8">
        <v>0.98399999999999999</v>
      </c>
      <c r="X71" s="8">
        <v>0.95569999999999999</v>
      </c>
      <c r="Y71" s="8">
        <v>0.97789999999999999</v>
      </c>
      <c r="Z71" s="8">
        <v>0.9778</v>
      </c>
      <c r="AA71" s="8">
        <v>1.6299999999999999E-2</v>
      </c>
    </row>
    <row r="72" spans="1:28">
      <c r="A72" s="81"/>
      <c r="B72" s="6" t="s">
        <v>16</v>
      </c>
      <c r="C72" s="8">
        <v>0.80130000000000001</v>
      </c>
      <c r="D72" s="8">
        <v>0.73960000000000004</v>
      </c>
      <c r="E72" s="8">
        <v>0.87409999999999999</v>
      </c>
      <c r="F72" s="8">
        <v>0.77759999999999996</v>
      </c>
      <c r="G72" s="8">
        <v>0.86180000000000001</v>
      </c>
      <c r="H72" s="8">
        <v>0.95179999999999998</v>
      </c>
      <c r="I72" s="8">
        <v>1.61E-2</v>
      </c>
      <c r="S72" s="73"/>
      <c r="T72" s="6" t="s">
        <v>16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13" t="s">
        <v>39</v>
      </c>
    </row>
    <row r="73" spans="1:28">
      <c r="A73" s="81"/>
      <c r="B73" s="9" t="s">
        <v>17</v>
      </c>
      <c r="C73" s="9"/>
      <c r="D73" s="10"/>
      <c r="E73" s="10"/>
      <c r="F73" s="9"/>
      <c r="G73" s="9"/>
      <c r="H73" s="9"/>
      <c r="I73" s="14"/>
      <c r="S73" s="73"/>
      <c r="T73" s="9" t="s">
        <v>17</v>
      </c>
      <c r="U73" s="9"/>
      <c r="V73" s="10"/>
      <c r="W73" s="10"/>
      <c r="X73" s="9"/>
      <c r="Y73" s="9"/>
      <c r="Z73" s="9"/>
      <c r="AA73" s="14"/>
    </row>
    <row r="74" spans="1:28">
      <c r="A74" s="81" t="s">
        <v>25</v>
      </c>
      <c r="B74" s="1" t="s">
        <v>9</v>
      </c>
      <c r="C74" s="1">
        <v>0.3382</v>
      </c>
      <c r="D74" s="1">
        <v>0.33379999999999999</v>
      </c>
      <c r="E74" s="1">
        <v>0.3427</v>
      </c>
      <c r="F74" s="1">
        <v>0.32590000000000002</v>
      </c>
      <c r="G74" s="1">
        <v>0.66090000000000004</v>
      </c>
      <c r="H74" s="1">
        <v>0.97589999999999999</v>
      </c>
      <c r="I74" s="1">
        <v>1.2</v>
      </c>
      <c r="S74" s="73" t="s">
        <v>40</v>
      </c>
      <c r="T74" s="1" t="s">
        <v>9</v>
      </c>
    </row>
    <row r="75" spans="1:28">
      <c r="A75" s="81"/>
      <c r="B75" s="1" t="s">
        <v>10</v>
      </c>
      <c r="C75" s="1">
        <v>7.7600000000000002E-2</v>
      </c>
      <c r="D75" s="1">
        <v>0.68220000000000003</v>
      </c>
      <c r="E75" s="1">
        <v>4.1200000000000001E-2</v>
      </c>
      <c r="F75" s="1">
        <v>0.11</v>
      </c>
      <c r="G75" s="1">
        <v>0.68720000000000003</v>
      </c>
      <c r="H75" s="1">
        <v>0.69199999999999995</v>
      </c>
      <c r="I75" s="1">
        <v>30.78</v>
      </c>
      <c r="S75" s="73"/>
      <c r="T75" s="1" t="s">
        <v>10</v>
      </c>
    </row>
    <row r="76" spans="1:28">
      <c r="A76" s="81"/>
      <c r="B76" s="1" t="s">
        <v>11</v>
      </c>
      <c r="C76" s="1">
        <v>0.47739999999999999</v>
      </c>
      <c r="D76" s="1">
        <v>0.35289999999999999</v>
      </c>
      <c r="E76" s="1">
        <v>0.7379</v>
      </c>
      <c r="F76" s="1">
        <v>0.50439999999999996</v>
      </c>
      <c r="G76" s="1">
        <v>0.67530000000000001</v>
      </c>
      <c r="H76" s="1">
        <v>0.98570000000000002</v>
      </c>
      <c r="I76" s="1">
        <v>0.24</v>
      </c>
      <c r="S76" s="73"/>
      <c r="T76" s="1" t="s">
        <v>11</v>
      </c>
    </row>
    <row r="77" spans="1:28">
      <c r="A77" s="81"/>
      <c r="B77" s="1" t="s">
        <v>12</v>
      </c>
      <c r="C77" s="11">
        <v>0.45190000000000002</v>
      </c>
      <c r="D77" s="11">
        <v>0.91830000000000001</v>
      </c>
      <c r="E77" s="11">
        <v>0.29970000000000002</v>
      </c>
      <c r="F77" s="11">
        <v>0.51160000000000005</v>
      </c>
      <c r="G77" s="11">
        <v>0.93899999999999995</v>
      </c>
      <c r="H77" s="11">
        <v>0.95889999999999997</v>
      </c>
      <c r="I77" s="11">
        <v>4.0399999999999998E-2</v>
      </c>
      <c r="S77" s="73"/>
      <c r="T77" s="1" t="s">
        <v>12</v>
      </c>
      <c r="U77" s="11">
        <v>0.77500000000000002</v>
      </c>
      <c r="V77" s="11">
        <v>0.79490000000000005</v>
      </c>
      <c r="W77" s="11">
        <v>0.75609999999999999</v>
      </c>
      <c r="X77" s="11">
        <v>0.73729999999999996</v>
      </c>
      <c r="Y77" s="11">
        <v>0.87639999999999996</v>
      </c>
      <c r="Z77" s="11">
        <v>0.93489999999999995</v>
      </c>
      <c r="AA77" s="11">
        <v>4.2099999999999999E-2</v>
      </c>
    </row>
    <row r="78" spans="1:28">
      <c r="A78" s="81"/>
      <c r="B78" s="1" t="s">
        <v>13</v>
      </c>
      <c r="C78" s="1">
        <v>0.50839999999999996</v>
      </c>
      <c r="D78" s="1">
        <v>0.90459999999999996</v>
      </c>
      <c r="E78" s="1">
        <v>0.35360000000000003</v>
      </c>
      <c r="F78" s="1">
        <v>0.55430000000000001</v>
      </c>
      <c r="G78" s="1">
        <v>0.93679999999999997</v>
      </c>
      <c r="H78" s="1">
        <v>0.9677</v>
      </c>
      <c r="I78" s="1">
        <v>3.11</v>
      </c>
      <c r="S78" s="73"/>
      <c r="T78" s="1" t="s">
        <v>13</v>
      </c>
    </row>
    <row r="79" spans="1:28" ht="17.25">
      <c r="A79" s="81"/>
      <c r="B79" s="6" t="s">
        <v>14</v>
      </c>
      <c r="C79" s="6"/>
      <c r="D79" s="6"/>
      <c r="E79" s="6"/>
      <c r="F79" s="6"/>
      <c r="G79" s="6"/>
      <c r="H79" s="6"/>
      <c r="I79" s="6"/>
      <c r="J79" s="15" t="s">
        <v>26</v>
      </c>
      <c r="S79" s="73"/>
      <c r="T79" s="6" t="s">
        <v>14</v>
      </c>
      <c r="U79" s="8">
        <v>0.80649999999999999</v>
      </c>
      <c r="V79" s="8">
        <v>0.85470000000000002</v>
      </c>
      <c r="W79" s="8">
        <v>0.76339999999999997</v>
      </c>
      <c r="X79" s="8">
        <v>0.77429999999999999</v>
      </c>
      <c r="Y79" s="8">
        <v>0.90559999999999996</v>
      </c>
      <c r="Z79" s="8">
        <v>0.94220000000000004</v>
      </c>
      <c r="AA79" s="8">
        <v>4.3499999999999997E-2</v>
      </c>
    </row>
    <row r="80" spans="1:28">
      <c r="A80" s="81"/>
      <c r="B80" s="6" t="s">
        <v>15</v>
      </c>
      <c r="C80" s="6"/>
      <c r="D80" s="6"/>
      <c r="E80" s="6"/>
      <c r="F80" s="6"/>
      <c r="G80" s="6"/>
      <c r="H80" s="6"/>
      <c r="I80" s="6"/>
      <c r="S80" s="73"/>
      <c r="T80" s="6" t="s">
        <v>15</v>
      </c>
      <c r="U80" s="8">
        <v>0.79069999999999996</v>
      </c>
      <c r="V80" s="8">
        <v>0.72650000000000003</v>
      </c>
      <c r="W80" s="8">
        <v>0.86729999999999996</v>
      </c>
      <c r="X80" s="8">
        <v>0.76380000000000003</v>
      </c>
      <c r="Y80" s="8">
        <v>0.85409999999999997</v>
      </c>
      <c r="Z80" s="8">
        <v>0.94579999999999997</v>
      </c>
      <c r="AA80" s="8">
        <v>1.8200000000000001E-2</v>
      </c>
    </row>
    <row r="81" spans="1:28">
      <c r="A81" s="81"/>
      <c r="B81" s="6" t="s">
        <v>16</v>
      </c>
      <c r="C81" s="6"/>
      <c r="D81" s="6"/>
      <c r="E81" s="6"/>
      <c r="F81" s="6"/>
      <c r="G81" s="6"/>
      <c r="H81" s="6"/>
      <c r="I81" s="6"/>
      <c r="S81" s="73"/>
      <c r="T81" s="6" t="s">
        <v>16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13" t="s">
        <v>39</v>
      </c>
    </row>
    <row r="82" spans="1:28">
      <c r="A82" s="81"/>
      <c r="B82" s="9" t="s">
        <v>17</v>
      </c>
      <c r="C82" s="9"/>
      <c r="D82" s="10"/>
      <c r="E82" s="10"/>
      <c r="F82" s="9"/>
      <c r="G82" s="9"/>
      <c r="H82" s="9"/>
      <c r="I82" s="14"/>
      <c r="S82" s="73"/>
      <c r="T82" s="9" t="s">
        <v>17</v>
      </c>
      <c r="U82" s="9"/>
      <c r="V82" s="10"/>
      <c r="W82" s="10"/>
      <c r="X82" s="9"/>
      <c r="Y82" s="9"/>
      <c r="Z82" s="9"/>
      <c r="AA82" s="14"/>
    </row>
    <row r="83" spans="1:28">
      <c r="A83" s="73" t="s">
        <v>27</v>
      </c>
      <c r="B83" s="1" t="s">
        <v>9</v>
      </c>
      <c r="C83" s="1">
        <v>0.26910000000000001</v>
      </c>
      <c r="D83" s="1">
        <v>0.3397</v>
      </c>
      <c r="E83" s="1">
        <v>0.2228</v>
      </c>
      <c r="F83" s="1">
        <v>0.18240000000000001</v>
      </c>
      <c r="G83" s="1">
        <v>0.60960000000000003</v>
      </c>
      <c r="H83" s="1">
        <v>0.8296</v>
      </c>
      <c r="I83" s="1">
        <v>12.06</v>
      </c>
      <c r="S83" s="73" t="s">
        <v>41</v>
      </c>
      <c r="T83" s="1" t="s">
        <v>9</v>
      </c>
    </row>
    <row r="84" spans="1:28">
      <c r="A84" s="73"/>
      <c r="B84" s="1" t="s">
        <v>10</v>
      </c>
      <c r="C84" s="1">
        <v>0.29399999999999998</v>
      </c>
      <c r="D84" s="1">
        <v>0.69320000000000004</v>
      </c>
      <c r="E84" s="1">
        <v>0.1865</v>
      </c>
      <c r="F84" s="1">
        <v>0.25019999999999998</v>
      </c>
      <c r="G84" s="1">
        <v>0.70930000000000004</v>
      </c>
      <c r="H84" s="1">
        <v>0.72270000000000001</v>
      </c>
      <c r="I84" s="1">
        <v>27.46</v>
      </c>
      <c r="S84" s="73"/>
      <c r="T84" s="1" t="s">
        <v>10</v>
      </c>
    </row>
    <row r="85" spans="1:28">
      <c r="A85" s="73"/>
      <c r="B85" s="1" t="s">
        <v>11</v>
      </c>
      <c r="C85" s="1">
        <v>0.73209999999999997</v>
      </c>
      <c r="D85" s="1">
        <v>0.62490000000000001</v>
      </c>
      <c r="E85" s="1">
        <v>0.88360000000000005</v>
      </c>
      <c r="F85" s="1">
        <v>0.72240000000000004</v>
      </c>
      <c r="G85" s="1">
        <v>0.80830000000000002</v>
      </c>
      <c r="H85" s="1">
        <v>0.9577</v>
      </c>
      <c r="I85" s="1">
        <v>0.84</v>
      </c>
      <c r="S85" s="73"/>
      <c r="T85" s="1" t="s">
        <v>11</v>
      </c>
    </row>
    <row r="86" spans="1:28">
      <c r="A86" s="73"/>
      <c r="B86" s="1" t="s">
        <v>12</v>
      </c>
      <c r="C86" s="11">
        <v>0.76300000000000001</v>
      </c>
      <c r="D86" s="11">
        <v>0.80569999999999997</v>
      </c>
      <c r="E86" s="11">
        <v>0.72460000000000002</v>
      </c>
      <c r="F86" s="11">
        <v>0.73780000000000001</v>
      </c>
      <c r="G86" s="11">
        <v>0.88670000000000004</v>
      </c>
      <c r="H86" s="11">
        <v>0.95220000000000005</v>
      </c>
      <c r="I86" s="11">
        <v>3.2300000000000002E-2</v>
      </c>
      <c r="S86" s="73"/>
      <c r="T86" s="1" t="s">
        <v>12</v>
      </c>
    </row>
    <row r="87" spans="1:28">
      <c r="A87" s="73"/>
      <c r="B87" s="1" t="s">
        <v>13</v>
      </c>
      <c r="C87" s="1">
        <v>0.78449999999999998</v>
      </c>
      <c r="D87" s="5">
        <v>0.87080000000000002</v>
      </c>
      <c r="E87" s="5">
        <v>0.7137</v>
      </c>
      <c r="F87" s="1">
        <v>0.76390000000000002</v>
      </c>
      <c r="G87" s="1">
        <v>0.91700000000000004</v>
      </c>
      <c r="H87" s="1">
        <v>0.95430000000000004</v>
      </c>
      <c r="I87" s="1">
        <v>3.69</v>
      </c>
      <c r="S87" s="73"/>
      <c r="T87" s="1" t="s">
        <v>13</v>
      </c>
    </row>
    <row r="88" spans="1:28">
      <c r="A88" s="73"/>
      <c r="B88" s="6" t="s">
        <v>14</v>
      </c>
      <c r="C88" s="8">
        <v>0.70530000000000004</v>
      </c>
      <c r="D88" s="8">
        <v>0.89190000000000003</v>
      </c>
      <c r="E88" s="8">
        <v>0.58320000000000005</v>
      </c>
      <c r="F88" s="8">
        <v>0.68630000000000002</v>
      </c>
      <c r="G88" s="8">
        <v>0.9123</v>
      </c>
      <c r="H88" s="8">
        <v>0.92879999999999996</v>
      </c>
      <c r="I88" s="8">
        <v>6.7299999999999999E-2</v>
      </c>
      <c r="S88" s="73"/>
      <c r="T88" s="6" t="s">
        <v>14</v>
      </c>
      <c r="U88" s="8">
        <v>0.871</v>
      </c>
      <c r="V88" s="8">
        <v>1</v>
      </c>
      <c r="W88" s="8">
        <v>0.77139999999999997</v>
      </c>
      <c r="X88" s="8">
        <v>0.76060000000000005</v>
      </c>
      <c r="Y88" s="8">
        <v>0.875</v>
      </c>
      <c r="Z88" s="8">
        <v>0.86439999999999995</v>
      </c>
      <c r="AA88" s="8">
        <v>0.25</v>
      </c>
    </row>
    <row r="89" spans="1:28">
      <c r="A89" s="73"/>
      <c r="B89" s="6" t="s">
        <v>15</v>
      </c>
      <c r="C89" s="6"/>
      <c r="D89" s="6"/>
      <c r="E89" s="6"/>
      <c r="F89" s="6"/>
      <c r="G89" s="6"/>
      <c r="H89" s="6"/>
      <c r="I89" s="6"/>
      <c r="S89" s="73"/>
      <c r="T89" s="6" t="s">
        <v>15</v>
      </c>
      <c r="U89" s="6"/>
      <c r="V89" s="6"/>
      <c r="W89" s="6"/>
      <c r="X89" s="6"/>
      <c r="Y89" s="6"/>
      <c r="Z89" s="6"/>
      <c r="AA89" s="6"/>
    </row>
    <row r="90" spans="1:28">
      <c r="A90" s="73"/>
      <c r="B90" s="6" t="s">
        <v>16</v>
      </c>
      <c r="C90" s="6"/>
      <c r="D90" s="6"/>
      <c r="E90" s="6"/>
      <c r="F90" s="6"/>
      <c r="G90" s="6"/>
      <c r="H90" s="6"/>
      <c r="I90" s="6"/>
      <c r="S90" s="73"/>
      <c r="T90" s="6" t="s">
        <v>16</v>
      </c>
      <c r="U90" s="6"/>
      <c r="V90" s="6"/>
      <c r="W90" s="6"/>
      <c r="X90" s="6"/>
      <c r="Y90" s="6"/>
      <c r="Z90" s="6"/>
      <c r="AA90" s="6"/>
    </row>
    <row r="91" spans="1:28">
      <c r="A91" s="73"/>
      <c r="B91" s="9" t="s">
        <v>17</v>
      </c>
      <c r="C91" s="9"/>
      <c r="D91" s="10"/>
      <c r="E91" s="10"/>
      <c r="F91" s="9"/>
      <c r="G91" s="9"/>
      <c r="H91" s="9"/>
      <c r="I91" s="14"/>
      <c r="S91" s="73"/>
      <c r="T91" s="9" t="s">
        <v>17</v>
      </c>
      <c r="U91" s="9"/>
      <c r="V91" s="10"/>
      <c r="W91" s="10"/>
      <c r="X91" s="9"/>
      <c r="Y91" s="9"/>
      <c r="Z91" s="9"/>
      <c r="AA91" s="14"/>
    </row>
    <row r="92" spans="1:28">
      <c r="A92" s="73" t="s">
        <v>28</v>
      </c>
      <c r="B92" s="1" t="s">
        <v>9</v>
      </c>
      <c r="C92" s="1">
        <v>0.52910000000000001</v>
      </c>
      <c r="D92" s="1">
        <v>0.4274</v>
      </c>
      <c r="E92" s="1">
        <v>0.69440000000000002</v>
      </c>
      <c r="F92" s="1">
        <v>0.49020000000000002</v>
      </c>
      <c r="G92" s="1">
        <v>0.69820000000000004</v>
      </c>
      <c r="H92" s="1">
        <v>0.89280000000000004</v>
      </c>
      <c r="I92" s="1">
        <v>3.09</v>
      </c>
      <c r="S92" s="73" t="s">
        <v>42</v>
      </c>
      <c r="T92" s="1" t="s">
        <v>9</v>
      </c>
    </row>
    <row r="93" spans="1:28">
      <c r="A93" s="73"/>
      <c r="B93" s="1" t="s">
        <v>10</v>
      </c>
      <c r="C93" s="1">
        <v>0.42380000000000001</v>
      </c>
      <c r="D93" s="1">
        <v>0.58179999999999998</v>
      </c>
      <c r="E93" s="1">
        <v>0.33329999999999999</v>
      </c>
      <c r="F93" s="1">
        <v>0.3165</v>
      </c>
      <c r="G93" s="1">
        <v>0.69599999999999995</v>
      </c>
      <c r="H93" s="1">
        <v>0.77810000000000001</v>
      </c>
      <c r="I93" s="1">
        <v>18.989999999999998</v>
      </c>
      <c r="S93" s="73"/>
      <c r="T93" s="1" t="s">
        <v>10</v>
      </c>
    </row>
    <row r="94" spans="1:28">
      <c r="A94" s="73"/>
      <c r="B94" s="1" t="s">
        <v>11</v>
      </c>
      <c r="C94" s="1">
        <v>0.16059999999999999</v>
      </c>
      <c r="D94" s="1">
        <v>9.4E-2</v>
      </c>
      <c r="E94" s="1">
        <v>0.55000000000000004</v>
      </c>
      <c r="F94" s="1">
        <v>0.1847</v>
      </c>
      <c r="G94" s="1">
        <v>0.54069999999999996</v>
      </c>
      <c r="H94" s="1">
        <v>0.86140000000000005</v>
      </c>
      <c r="I94" s="1">
        <v>1.26</v>
      </c>
      <c r="S94" s="73"/>
      <c r="T94" s="1" t="s">
        <v>11</v>
      </c>
    </row>
    <row r="95" spans="1:28">
      <c r="A95" s="73"/>
      <c r="B95" s="1" t="s">
        <v>12</v>
      </c>
      <c r="S95" s="73"/>
      <c r="T95" s="1" t="s">
        <v>12</v>
      </c>
    </row>
    <row r="96" spans="1:28">
      <c r="A96" s="73"/>
      <c r="B96" s="1" t="s">
        <v>13</v>
      </c>
      <c r="C96" s="1">
        <v>0.82189999999999996</v>
      </c>
      <c r="D96" s="5">
        <v>0.76919999999999999</v>
      </c>
      <c r="E96" s="5">
        <v>0.88239999999999996</v>
      </c>
      <c r="F96" s="1">
        <v>0.79749999999999999</v>
      </c>
      <c r="G96" s="1">
        <v>0.87619999999999998</v>
      </c>
      <c r="H96" s="1">
        <v>0.95299999999999996</v>
      </c>
      <c r="I96" s="1">
        <v>1.68</v>
      </c>
      <c r="S96" s="73"/>
      <c r="T96" s="1" t="s">
        <v>13</v>
      </c>
    </row>
    <row r="97" spans="1:27" ht="17.25">
      <c r="A97" s="73"/>
      <c r="B97" s="6" t="s">
        <v>14</v>
      </c>
      <c r="C97" s="6"/>
      <c r="D97" s="6"/>
      <c r="E97" s="6"/>
      <c r="F97" s="6"/>
      <c r="G97" s="6"/>
      <c r="H97" s="6"/>
      <c r="I97" s="6"/>
      <c r="J97" s="15" t="s">
        <v>29</v>
      </c>
      <c r="S97" s="73"/>
      <c r="T97" s="6" t="s">
        <v>14</v>
      </c>
      <c r="U97" s="8">
        <v>0.8387</v>
      </c>
      <c r="V97" s="8">
        <v>0.72219999999999995</v>
      </c>
      <c r="W97" s="8">
        <v>1</v>
      </c>
      <c r="X97" s="8">
        <v>0.74950000000000006</v>
      </c>
      <c r="Y97" s="8">
        <v>0.86109999999999998</v>
      </c>
      <c r="Z97" s="8">
        <v>0.85919999999999996</v>
      </c>
      <c r="AA97" s="8">
        <v>0</v>
      </c>
    </row>
    <row r="98" spans="1:27">
      <c r="A98" s="73"/>
      <c r="B98" s="6" t="s">
        <v>15</v>
      </c>
      <c r="C98" s="6"/>
      <c r="D98" s="6"/>
      <c r="E98" s="6"/>
      <c r="F98" s="6"/>
      <c r="G98" s="6"/>
      <c r="H98" s="6"/>
      <c r="I98" s="6"/>
      <c r="S98" s="73"/>
      <c r="T98" s="6" t="s">
        <v>15</v>
      </c>
      <c r="U98" s="6"/>
      <c r="V98" s="6"/>
      <c r="W98" s="6"/>
      <c r="X98" s="6"/>
      <c r="Y98" s="6"/>
      <c r="Z98" s="6"/>
      <c r="AA98" s="6"/>
    </row>
    <row r="99" spans="1:27">
      <c r="A99" s="73"/>
      <c r="B99" s="6" t="s">
        <v>16</v>
      </c>
      <c r="C99" s="6"/>
      <c r="D99" s="6"/>
      <c r="E99" s="6"/>
      <c r="F99" s="6"/>
      <c r="G99" s="6"/>
      <c r="H99" s="6"/>
      <c r="I99" s="6"/>
      <c r="S99" s="73"/>
      <c r="T99" s="6" t="s">
        <v>16</v>
      </c>
      <c r="U99" s="6"/>
      <c r="V99" s="6"/>
      <c r="W99" s="6"/>
      <c r="X99" s="6"/>
      <c r="Y99" s="6"/>
      <c r="Z99" s="6"/>
      <c r="AA99" s="6"/>
    </row>
    <row r="100" spans="1:27">
      <c r="A100" s="73"/>
      <c r="B100" s="9" t="s">
        <v>17</v>
      </c>
      <c r="C100" s="9"/>
      <c r="D100" s="10"/>
      <c r="E100" s="10"/>
      <c r="F100" s="9"/>
      <c r="G100" s="9"/>
      <c r="H100" s="9"/>
      <c r="I100" s="14"/>
      <c r="S100" s="73"/>
      <c r="T100" s="9" t="s">
        <v>17</v>
      </c>
      <c r="U100" s="9"/>
      <c r="V100" s="10"/>
      <c r="W100" s="10"/>
      <c r="X100" s="9"/>
      <c r="Y100" s="9"/>
      <c r="Z100" s="9"/>
      <c r="AA100" s="14"/>
    </row>
    <row r="101" spans="1:27">
      <c r="A101" s="73" t="s">
        <v>30</v>
      </c>
      <c r="B101" s="1" t="s">
        <v>9</v>
      </c>
      <c r="C101" s="1">
        <v>0.66779999999999995</v>
      </c>
      <c r="D101" s="1">
        <v>0.65529999999999999</v>
      </c>
      <c r="E101" s="1">
        <v>0.68089999999999995</v>
      </c>
      <c r="F101" s="1">
        <v>0.65210000000000001</v>
      </c>
      <c r="G101" s="1">
        <v>0.82010000000000005</v>
      </c>
      <c r="H101" s="1">
        <v>0.96960000000000002</v>
      </c>
      <c r="I101" s="5">
        <v>1.5</v>
      </c>
    </row>
    <row r="102" spans="1:27">
      <c r="A102" s="73"/>
      <c r="B102" s="1" t="s">
        <v>10</v>
      </c>
      <c r="C102" s="1">
        <v>0.29299999999999998</v>
      </c>
      <c r="D102" s="1">
        <v>0.80220000000000002</v>
      </c>
      <c r="E102" s="1">
        <v>0.1792</v>
      </c>
      <c r="F102" s="1">
        <v>0.32029999999999997</v>
      </c>
      <c r="G102" s="1">
        <v>0.80720000000000003</v>
      </c>
      <c r="H102" s="1">
        <v>0.81179999999999997</v>
      </c>
      <c r="I102" s="1">
        <v>18.77</v>
      </c>
    </row>
    <row r="103" spans="1:27">
      <c r="A103" s="73"/>
      <c r="B103" s="1" t="s">
        <v>11</v>
      </c>
      <c r="C103" s="1">
        <v>0.1235</v>
      </c>
      <c r="D103" s="1">
        <v>6.83E-2</v>
      </c>
      <c r="E103" s="1">
        <v>0.6452</v>
      </c>
      <c r="F103" s="1">
        <v>0.19989999999999999</v>
      </c>
      <c r="G103" s="1">
        <v>0.53320000000000001</v>
      </c>
      <c r="H103" s="1">
        <v>0.95479999999999998</v>
      </c>
      <c r="I103" s="1">
        <v>0.18</v>
      </c>
    </row>
    <row r="104" spans="1:27">
      <c r="A104" s="73"/>
      <c r="B104" s="1" t="s">
        <v>12</v>
      </c>
      <c r="C104" s="11">
        <v>0.85029999999999994</v>
      </c>
      <c r="D104" s="11">
        <v>0.9113</v>
      </c>
      <c r="E104" s="11">
        <v>0.79700000000000004</v>
      </c>
      <c r="F104" s="11">
        <v>0.84460000000000002</v>
      </c>
      <c r="G104" s="11">
        <v>0.95</v>
      </c>
      <c r="H104" s="11">
        <v>0.98509999999999998</v>
      </c>
      <c r="I104" s="11">
        <v>1.1299999999999999E-2</v>
      </c>
    </row>
    <row r="105" spans="1:27">
      <c r="A105" s="73"/>
      <c r="B105" s="1" t="s">
        <v>13</v>
      </c>
      <c r="C105" s="1">
        <v>0.91990000000000005</v>
      </c>
      <c r="D105" s="5">
        <v>0.90100000000000002</v>
      </c>
      <c r="E105" s="5">
        <v>0.9395</v>
      </c>
      <c r="F105" s="1">
        <v>0.9163</v>
      </c>
      <c r="G105" s="1">
        <v>0.94910000000000005</v>
      </c>
      <c r="H105" s="1">
        <v>0.99270000000000003</v>
      </c>
      <c r="I105" s="1">
        <v>0.28000000000000003</v>
      </c>
    </row>
    <row r="106" spans="1:27">
      <c r="A106" s="73"/>
      <c r="B106" s="6" t="s">
        <v>14</v>
      </c>
      <c r="C106" s="8">
        <v>0.8982</v>
      </c>
      <c r="D106" s="8">
        <v>0.87370000000000003</v>
      </c>
      <c r="E106" s="8">
        <v>0.92420000000000002</v>
      </c>
      <c r="F106" s="8">
        <v>0.89380000000000004</v>
      </c>
      <c r="G106" s="8">
        <v>0.93510000000000004</v>
      </c>
      <c r="H106" s="8">
        <v>0.99080000000000001</v>
      </c>
      <c r="I106" s="8">
        <v>3.5000000000000001E-3</v>
      </c>
    </row>
    <row r="107" spans="1:27">
      <c r="A107" s="73"/>
      <c r="B107" s="6" t="s">
        <v>15</v>
      </c>
      <c r="C107" s="8">
        <v>0.86770000000000003</v>
      </c>
      <c r="D107" s="8">
        <v>0.88400000000000001</v>
      </c>
      <c r="E107" s="8">
        <v>0.85199999999999998</v>
      </c>
      <c r="F107" s="8">
        <v>0.86119999999999997</v>
      </c>
      <c r="G107" s="8">
        <v>0.93820000000000003</v>
      </c>
      <c r="H107" s="8">
        <v>0.98740000000000006</v>
      </c>
      <c r="I107" s="8">
        <v>7.4999999999999997E-3</v>
      </c>
    </row>
    <row r="108" spans="1:27">
      <c r="A108" s="73"/>
      <c r="B108" s="6" t="s">
        <v>16</v>
      </c>
      <c r="C108" s="8">
        <v>0.88670000000000004</v>
      </c>
      <c r="D108" s="8">
        <v>0.92149999999999999</v>
      </c>
      <c r="E108" s="8">
        <v>0.85440000000000005</v>
      </c>
      <c r="F108" s="8">
        <v>0.88160000000000005</v>
      </c>
      <c r="G108" s="8">
        <v>0.95689999999999997</v>
      </c>
      <c r="H108" s="8">
        <v>0.98899999999999999</v>
      </c>
      <c r="I108" s="8">
        <v>7.7000000000000002E-3</v>
      </c>
    </row>
    <row r="109" spans="1:27">
      <c r="A109" s="73"/>
      <c r="B109" s="9" t="s">
        <v>17</v>
      </c>
      <c r="C109" s="9"/>
      <c r="D109" s="10"/>
      <c r="E109" s="10"/>
      <c r="F109" s="9"/>
      <c r="G109" s="9"/>
      <c r="H109" s="9"/>
      <c r="I109" s="14"/>
    </row>
    <row r="110" spans="1:27">
      <c r="A110" s="49"/>
    </row>
    <row r="111" spans="1:27">
      <c r="A111" s="49"/>
    </row>
    <row r="112" spans="1:27">
      <c r="A112" s="49"/>
    </row>
    <row r="113" spans="1:42" ht="33.75" thickBot="1">
      <c r="A113" s="50" t="s">
        <v>77</v>
      </c>
      <c r="O113" s="74" t="s">
        <v>85</v>
      </c>
      <c r="P113" s="74"/>
      <c r="Q113" s="74"/>
      <c r="R113" s="74"/>
      <c r="S113" s="60"/>
      <c r="T113" s="60" t="s">
        <v>86</v>
      </c>
      <c r="U113" s="59"/>
      <c r="V113" s="72" t="s">
        <v>85</v>
      </c>
      <c r="W113" s="73"/>
      <c r="Z113" s="31" t="s">
        <v>84</v>
      </c>
    </row>
    <row r="114" spans="1:42" ht="16.5" thickBot="1">
      <c r="A114" s="16"/>
      <c r="B114" s="16" t="s">
        <v>63</v>
      </c>
      <c r="C114" s="16" t="s">
        <v>43</v>
      </c>
      <c r="D114" s="16" t="s">
        <v>44</v>
      </c>
      <c r="E114" s="16" t="s">
        <v>8</v>
      </c>
      <c r="F114" s="16" t="s">
        <v>24</v>
      </c>
      <c r="G114" s="16" t="s">
        <v>19</v>
      </c>
      <c r="O114" s="57" t="s">
        <v>43</v>
      </c>
      <c r="P114" s="57" t="s">
        <v>44</v>
      </c>
      <c r="Q114" s="57" t="s">
        <v>8</v>
      </c>
      <c r="R114" s="57" t="s">
        <v>24</v>
      </c>
      <c r="S114" s="57" t="s">
        <v>19</v>
      </c>
      <c r="T114" s="57" t="s">
        <v>45</v>
      </c>
      <c r="U114" s="57" t="s">
        <v>83</v>
      </c>
      <c r="V114" s="57" t="s">
        <v>87</v>
      </c>
      <c r="W114" s="57" t="s">
        <v>83</v>
      </c>
      <c r="Z114" s="16"/>
      <c r="AA114" s="16"/>
      <c r="AB114" s="25" t="s">
        <v>43</v>
      </c>
      <c r="AC114" s="25" t="s">
        <v>62</v>
      </c>
      <c r="AD114" s="25" t="s">
        <v>8</v>
      </c>
      <c r="AE114" s="25" t="s">
        <v>24</v>
      </c>
      <c r="AF114" s="25" t="s">
        <v>19</v>
      </c>
      <c r="AG114" s="16" t="s">
        <v>45</v>
      </c>
      <c r="AP114" s="1" t="s">
        <v>59</v>
      </c>
    </row>
    <row r="115" spans="1:42">
      <c r="A115" s="82" t="s">
        <v>95</v>
      </c>
      <c r="B115" s="16" t="s">
        <v>1</v>
      </c>
      <c r="C115" s="16">
        <v>0.71109999999999995</v>
      </c>
      <c r="D115" s="16">
        <v>0.59570000000000001</v>
      </c>
      <c r="E115" s="16">
        <v>0.69740000000000002</v>
      </c>
      <c r="F115" s="16">
        <v>0.67579999999999996</v>
      </c>
      <c r="G115" s="16">
        <v>0.54630000000000001</v>
      </c>
      <c r="N115" s="63" t="s">
        <v>46</v>
      </c>
      <c r="O115" s="33">
        <v>0.71109999999999995</v>
      </c>
      <c r="P115" s="33">
        <v>0.59570000000000001</v>
      </c>
      <c r="Q115" s="33">
        <v>0.69740000000000002</v>
      </c>
      <c r="R115" s="33">
        <v>0.67579999999999996</v>
      </c>
      <c r="S115" s="33">
        <v>0.54630000000000001</v>
      </c>
      <c r="T115" s="1">
        <f>AVERAGE(O115:S115)</f>
        <v>0.64525999999999994</v>
      </c>
      <c r="U115" s="43">
        <f>T115-T120</f>
        <v>-0.23452000000000006</v>
      </c>
      <c r="V115" s="33">
        <v>0.64529999999999998</v>
      </c>
      <c r="W115" s="43">
        <f>V115-V120</f>
        <v>-0.23450000000000004</v>
      </c>
      <c r="Z115" s="76" t="s">
        <v>67</v>
      </c>
      <c r="AA115" s="24" t="s">
        <v>1</v>
      </c>
      <c r="AB115" s="1">
        <v>0.93879999999999997</v>
      </c>
      <c r="AC115" s="40">
        <v>0.80649999999999999</v>
      </c>
      <c r="AD115" s="19">
        <f>(2*AD116*AD117)/(AD116+AD117)</f>
        <v>0.85029940119760472</v>
      </c>
      <c r="AE115" s="19">
        <f>(2*AE116*AE117)/(AE116+AE117)</f>
        <v>0.74712643678160917</v>
      </c>
      <c r="AF115" s="1">
        <v>0.81299999999999994</v>
      </c>
      <c r="AG115" s="1">
        <f t="shared" ref="AG115:AG125" si="0">AVERAGE(AB115:AF115)</f>
        <v>0.83114516759584267</v>
      </c>
    </row>
    <row r="116" spans="1:42">
      <c r="A116" s="82"/>
      <c r="B116" s="16" t="s">
        <v>2</v>
      </c>
      <c r="C116" s="16">
        <v>0.66669999999999996</v>
      </c>
      <c r="D116" s="16">
        <v>0.48280000000000001</v>
      </c>
      <c r="E116" s="16">
        <v>0.63100000000000001</v>
      </c>
      <c r="F116" s="16">
        <v>0.58579999999999999</v>
      </c>
      <c r="G116" s="16">
        <v>0.47970000000000002</v>
      </c>
      <c r="N116" s="64" t="s">
        <v>11</v>
      </c>
      <c r="O116" s="26">
        <v>0.70669999999999999</v>
      </c>
      <c r="P116" s="26">
        <v>0.51719999999999999</v>
      </c>
      <c r="Q116" s="26">
        <v>4.65E-2</v>
      </c>
      <c r="R116" s="26">
        <v>0.1283</v>
      </c>
      <c r="S116" s="26">
        <v>0.59379999999999999</v>
      </c>
      <c r="T116" s="1">
        <f t="shared" ref="T116:T156" si="1">AVERAGE(O116:S116)</f>
        <v>0.39850000000000002</v>
      </c>
      <c r="U116" s="43">
        <f>T116-T120</f>
        <v>-0.48127999999999999</v>
      </c>
      <c r="V116" s="26">
        <v>0.39850000000000002</v>
      </c>
      <c r="W116" s="43">
        <f>V116-V120</f>
        <v>-0.48130000000000001</v>
      </c>
      <c r="Z116" s="77"/>
      <c r="AA116" s="16" t="s">
        <v>2</v>
      </c>
      <c r="AB116" s="1">
        <v>0.95830000000000004</v>
      </c>
      <c r="AC116" s="40">
        <v>0.86209999999999998</v>
      </c>
      <c r="AD116" s="32">
        <f>71/84</f>
        <v>0.84523809523809523</v>
      </c>
      <c r="AE116" s="32">
        <v>0.76923076923076905</v>
      </c>
      <c r="AF116" s="1">
        <v>0.81299999999999994</v>
      </c>
      <c r="AG116" s="1">
        <f t="shared" si="0"/>
        <v>0.84957377289377278</v>
      </c>
    </row>
    <row r="117" spans="1:42">
      <c r="A117" s="82"/>
      <c r="B117" s="16" t="s">
        <v>47</v>
      </c>
      <c r="C117" s="16">
        <v>0.76190000000000002</v>
      </c>
      <c r="D117" s="16">
        <v>0.77780000000000005</v>
      </c>
      <c r="E117" s="16">
        <v>0.77939999999999998</v>
      </c>
      <c r="F117" s="16">
        <v>0.7984</v>
      </c>
      <c r="G117" s="16">
        <v>0.63439999999999996</v>
      </c>
      <c r="N117" s="64" t="s">
        <v>10</v>
      </c>
      <c r="O117" s="26">
        <v>0.54900000000000004</v>
      </c>
      <c r="P117" s="26">
        <v>0.51280000000000003</v>
      </c>
      <c r="Q117" s="26">
        <v>0.41830000000000001</v>
      </c>
      <c r="R117" s="26">
        <v>0.42949999999999999</v>
      </c>
      <c r="S117" s="26">
        <v>0.47020000000000001</v>
      </c>
      <c r="T117" s="1">
        <f t="shared" si="1"/>
        <v>0.47596000000000005</v>
      </c>
      <c r="U117" s="43">
        <f>T117-T120</f>
        <v>-0.40381999999999996</v>
      </c>
      <c r="V117" s="26">
        <v>0.47599999999999998</v>
      </c>
      <c r="W117" s="43">
        <f>V117-V120</f>
        <v>-0.40380000000000005</v>
      </c>
      <c r="Z117" s="77"/>
      <c r="AA117" s="16" t="s">
        <v>47</v>
      </c>
      <c r="AB117" s="1">
        <v>0.92</v>
      </c>
      <c r="AC117" s="40">
        <v>0.75760000000000005</v>
      </c>
      <c r="AD117" s="32">
        <f>71/(71+12)</f>
        <v>0.85542168674698793</v>
      </c>
      <c r="AE117" s="32">
        <f>130/(130+49)</f>
        <v>0.72625698324022347</v>
      </c>
      <c r="AF117" s="1">
        <v>0.81299999999999994</v>
      </c>
      <c r="AG117" s="1">
        <f t="shared" si="0"/>
        <v>0.81445573399744231</v>
      </c>
    </row>
    <row r="118" spans="1:42">
      <c r="A118" s="82"/>
      <c r="B118" s="16" t="s">
        <v>48</v>
      </c>
      <c r="C118" s="16">
        <v>0.79170000000000007</v>
      </c>
      <c r="D118" s="16">
        <v>0.94809999999999994</v>
      </c>
      <c r="E118" s="16">
        <v>0.97719999999999996</v>
      </c>
      <c r="F118" s="16">
        <v>0.97760000000000002</v>
      </c>
      <c r="G118" s="16">
        <v>0.96079999999999999</v>
      </c>
      <c r="N118" s="64" t="s">
        <v>49</v>
      </c>
      <c r="O118" s="27">
        <v>0.89510000000000001</v>
      </c>
      <c r="P118" s="27">
        <v>0.73009999999999997</v>
      </c>
      <c r="Q118" s="27">
        <v>0.87339999999999995</v>
      </c>
      <c r="R118" s="27">
        <v>0.7984</v>
      </c>
      <c r="S118" s="27">
        <v>0.76910000000000001</v>
      </c>
      <c r="T118" s="1">
        <f t="shared" si="1"/>
        <v>0.81321999999999994</v>
      </c>
      <c r="U118" s="43">
        <f>T118-T120</f>
        <v>-6.6560000000000064E-2</v>
      </c>
      <c r="V118" s="26">
        <v>0.81320000000000003</v>
      </c>
      <c r="W118" s="43">
        <f>V118-V120</f>
        <v>-6.6599999999999993E-2</v>
      </c>
      <c r="Z118" s="77"/>
      <c r="AA118" s="16" t="s">
        <v>48</v>
      </c>
      <c r="AB118" s="1">
        <f>1-0.0833</f>
        <v>0.91669999999999996</v>
      </c>
      <c r="AC118" s="40">
        <f>1-0.1039</f>
        <v>0.89610000000000001</v>
      </c>
      <c r="AD118" s="32">
        <f>1-0.0198</f>
        <v>0.98019999999999996</v>
      </c>
      <c r="AE118" s="32">
        <f>AM121/AE121</f>
        <v>0.95621090259159969</v>
      </c>
      <c r="AF118" s="1">
        <f>1-0.0265</f>
        <v>0.97350000000000003</v>
      </c>
      <c r="AG118" s="1">
        <f t="shared" si="0"/>
        <v>0.94454218051831995</v>
      </c>
    </row>
    <row r="119" spans="1:42">
      <c r="A119" s="18"/>
      <c r="B119" s="16" t="s">
        <v>51</v>
      </c>
      <c r="C119" s="16">
        <f>72*C116</f>
        <v>48.002399999999994</v>
      </c>
      <c r="D119" s="16">
        <f>29*D116</f>
        <v>14.001200000000001</v>
      </c>
      <c r="E119" s="16">
        <f>84*E116</f>
        <v>53.003999999999998</v>
      </c>
      <c r="F119" s="16">
        <f>1288*F116</f>
        <v>754.5104</v>
      </c>
      <c r="G119" s="16">
        <f>123*G116</f>
        <v>59.003100000000003</v>
      </c>
      <c r="N119" s="64" t="s">
        <v>13</v>
      </c>
      <c r="O119" s="26">
        <v>0.92310000000000003</v>
      </c>
      <c r="P119" s="26">
        <v>0.77610000000000001</v>
      </c>
      <c r="Q119" s="26">
        <v>0.89439999999999997</v>
      </c>
      <c r="R119" s="26">
        <v>0.80269999999999997</v>
      </c>
      <c r="S119" s="26">
        <v>0.78510000000000002</v>
      </c>
      <c r="T119" s="1">
        <f t="shared" si="1"/>
        <v>0.83628000000000002</v>
      </c>
      <c r="U119" s="43">
        <f>T119-T120</f>
        <v>-4.3499999999999983E-2</v>
      </c>
      <c r="V119" s="26">
        <v>0.83630000000000004</v>
      </c>
      <c r="W119" s="43">
        <f>V119-V120</f>
        <v>-4.3499999999999983E-2</v>
      </c>
      <c r="Z119" s="77"/>
      <c r="AA119" s="16" t="s">
        <v>51</v>
      </c>
      <c r="AB119" s="16">
        <f>72*AB116</f>
        <v>68.997600000000006</v>
      </c>
      <c r="AC119" s="39">
        <f>29*AC116</f>
        <v>25.000899999999998</v>
      </c>
      <c r="AD119" s="19">
        <f>84*AD116</f>
        <v>71</v>
      </c>
      <c r="AE119" s="19">
        <f>169*AE116</f>
        <v>129.99999999999997</v>
      </c>
      <c r="AF119" s="16">
        <f>123*AF116</f>
        <v>99.998999999999995</v>
      </c>
      <c r="AG119" s="1">
        <f t="shared" si="0"/>
        <v>78.999499999999983</v>
      </c>
    </row>
    <row r="120" spans="1:42" ht="16.5" thickBot="1">
      <c r="A120" s="18"/>
      <c r="B120" s="16" t="s">
        <v>52</v>
      </c>
      <c r="C120" s="16">
        <f>((1-C117)*C119)/C117</f>
        <v>15.001143772148572</v>
      </c>
      <c r="D120" s="16">
        <f t="shared" ref="D120:G120" si="2">((1-D117)*D119)/D117</f>
        <v>3.9998285420416551</v>
      </c>
      <c r="E120" s="16">
        <f t="shared" si="2"/>
        <v>15.002158583525791</v>
      </c>
      <c r="F120" s="16">
        <f t="shared" si="2"/>
        <v>190.51765611222444</v>
      </c>
      <c r="G120" s="16">
        <f t="shared" si="2"/>
        <v>34.003047540983616</v>
      </c>
      <c r="N120" s="65" t="s">
        <v>50</v>
      </c>
      <c r="O120" s="61">
        <v>0.95169999999999999</v>
      </c>
      <c r="P120" s="61">
        <v>0.87270000000000003</v>
      </c>
      <c r="Q120" s="61">
        <v>0.91139999999999999</v>
      </c>
      <c r="R120" s="61">
        <v>0.83169999999999999</v>
      </c>
      <c r="S120" s="61">
        <v>0.83140000000000003</v>
      </c>
      <c r="T120" s="1">
        <f t="shared" si="1"/>
        <v>0.87978000000000001</v>
      </c>
      <c r="U120" s="43"/>
      <c r="V120" s="61">
        <v>0.87980000000000003</v>
      </c>
      <c r="W120" s="43"/>
      <c r="Z120" s="77"/>
      <c r="AA120" s="17" t="s">
        <v>52</v>
      </c>
      <c r="AB120" s="16">
        <f>((1-AB117)*AB119)/AB117</f>
        <v>5.9997913043478235</v>
      </c>
      <c r="AC120" s="39">
        <f>((1-AC117)*AC119)/AC117</f>
        <v>7.9992319957761318</v>
      </c>
      <c r="AD120" s="19">
        <f>((1-AD117)*AD119)/AD117</f>
        <v>12.000000000000002</v>
      </c>
      <c r="AE120" s="19">
        <f>((1-AE117)*AE119)/AE117</f>
        <v>48.999999999999986</v>
      </c>
      <c r="AF120" s="16">
        <f>((1-AF117)*AF119)/AF117</f>
        <v>23.001000000000008</v>
      </c>
      <c r="AG120" s="1">
        <f t="shared" si="0"/>
        <v>19.600004660024791</v>
      </c>
    </row>
    <row r="121" spans="1:42">
      <c r="A121" s="18"/>
      <c r="B121" s="16" t="s">
        <v>53</v>
      </c>
      <c r="C121" s="16">
        <f>144-72</f>
        <v>72</v>
      </c>
      <c r="D121" s="16">
        <f>106-29</f>
        <v>77</v>
      </c>
      <c r="E121" s="16">
        <f>742-84</f>
        <v>658</v>
      </c>
      <c r="F121" s="16">
        <f>1288-169</f>
        <v>1119</v>
      </c>
      <c r="G121" s="16">
        <f>991-123</f>
        <v>868</v>
      </c>
      <c r="H121" s="16" t="s">
        <v>58</v>
      </c>
      <c r="I121" s="16">
        <f>C121-C120</f>
        <v>56.998856227851427</v>
      </c>
      <c r="J121" s="16">
        <f>D121-D120</f>
        <v>73.000171457958345</v>
      </c>
      <c r="K121" s="16">
        <f>E121-E120</f>
        <v>642.99784141647422</v>
      </c>
      <c r="L121" s="16">
        <f>F121-F120</f>
        <v>928.48234388777553</v>
      </c>
      <c r="M121" s="16">
        <f>G121-G120</f>
        <v>833.99695245901637</v>
      </c>
      <c r="N121" s="64" t="s">
        <v>46</v>
      </c>
      <c r="O121" s="26">
        <v>0.66669999999999996</v>
      </c>
      <c r="P121" s="26">
        <v>0.48280000000000001</v>
      </c>
      <c r="Q121" s="26">
        <v>0.63100000000000001</v>
      </c>
      <c r="R121" s="26">
        <v>0.58579999999999999</v>
      </c>
      <c r="S121" s="26">
        <v>0.47970000000000002</v>
      </c>
      <c r="T121" s="1">
        <f t="shared" si="1"/>
        <v>0.56920000000000004</v>
      </c>
      <c r="U121" s="43">
        <f>T121-T126</f>
        <v>-0.28677999999999992</v>
      </c>
      <c r="V121" s="26">
        <v>0.56920000000000004</v>
      </c>
      <c r="W121" s="43">
        <f>V121-V126</f>
        <v>-0.28679999999999994</v>
      </c>
      <c r="Z121" s="77"/>
      <c r="AA121" s="16" t="s">
        <v>53</v>
      </c>
      <c r="AB121" s="16">
        <f>144-72</f>
        <v>72</v>
      </c>
      <c r="AC121" s="39">
        <f>106-29</f>
        <v>77</v>
      </c>
      <c r="AD121" s="19">
        <f>742-84</f>
        <v>658</v>
      </c>
      <c r="AE121" s="19">
        <f>1288-169</f>
        <v>1119</v>
      </c>
      <c r="AF121" s="16">
        <f>991-123</f>
        <v>868</v>
      </c>
      <c r="AG121" s="1">
        <f t="shared" si="0"/>
        <v>558.79999999999995</v>
      </c>
      <c r="AI121" s="16" t="s">
        <v>58</v>
      </c>
      <c r="AJ121" s="23">
        <f>AB121-AB120</f>
        <v>66.000208695652177</v>
      </c>
      <c r="AK121" s="23">
        <f>AC121-AC120</f>
        <v>69.000768004223872</v>
      </c>
      <c r="AL121" s="16">
        <f>AD121-AD120</f>
        <v>646</v>
      </c>
      <c r="AM121" s="16">
        <f>AE121-AE120</f>
        <v>1070</v>
      </c>
      <c r="AN121" s="16">
        <f>AF121-AF120</f>
        <v>844.99900000000002</v>
      </c>
      <c r="AO121" s="16"/>
    </row>
    <row r="122" spans="1:42">
      <c r="A122" s="18"/>
      <c r="B122" s="16" t="s">
        <v>54</v>
      </c>
      <c r="C122" s="16">
        <f>(1-C116)*C119/C116</f>
        <v>23.997600000000002</v>
      </c>
      <c r="D122" s="16">
        <f t="shared" ref="D122:G122" si="3">(1-D116)*D119/D116</f>
        <v>14.998800000000001</v>
      </c>
      <c r="E122" s="16">
        <f t="shared" si="3"/>
        <v>30.995999999999999</v>
      </c>
      <c r="F122" s="16">
        <f t="shared" si="3"/>
        <v>533.4896</v>
      </c>
      <c r="G122" s="16">
        <f t="shared" si="3"/>
        <v>63.996900000000004</v>
      </c>
      <c r="N122" s="64" t="s">
        <v>11</v>
      </c>
      <c r="O122" s="26">
        <v>0.73609999999999998</v>
      </c>
      <c r="P122" s="26">
        <v>0.51719999999999999</v>
      </c>
      <c r="Q122" s="26">
        <v>2.3800000000000002E-2</v>
      </c>
      <c r="R122" s="26">
        <v>7.0999999999999994E-2</v>
      </c>
      <c r="S122" s="26">
        <v>0.46339999999999998</v>
      </c>
      <c r="T122" s="1">
        <f t="shared" si="1"/>
        <v>0.36229999999999996</v>
      </c>
      <c r="U122" s="43">
        <f>T122-T126</f>
        <v>-0.49368000000000001</v>
      </c>
      <c r="V122" s="26">
        <v>0.36230000000000001</v>
      </c>
      <c r="W122" s="43">
        <f>V122-V126</f>
        <v>-0.49369999999999997</v>
      </c>
      <c r="Z122" s="77"/>
      <c r="AA122" s="16" t="s">
        <v>54</v>
      </c>
      <c r="AB122" s="16">
        <f>(1-AB116)*AB119/AB116</f>
        <v>3.0023999999999975</v>
      </c>
      <c r="AC122" s="39">
        <f>(1-AC116)*AC119/AC116</f>
        <v>3.9991000000000008</v>
      </c>
      <c r="AD122" s="19">
        <f>(1-AD116)*AD119/AD116</f>
        <v>13.000000000000002</v>
      </c>
      <c r="AE122" s="19">
        <f>(1-AE116)*AE119/AE116</f>
        <v>39.000000000000036</v>
      </c>
      <c r="AF122" s="16">
        <f>(1-AF116)*AF119/AF116</f>
        <v>23.001000000000008</v>
      </c>
      <c r="AG122" s="1">
        <f t="shared" si="0"/>
        <v>16.400500000000008</v>
      </c>
    </row>
    <row r="123" spans="1:42">
      <c r="A123" s="18"/>
      <c r="B123" s="16" t="s">
        <v>55</v>
      </c>
      <c r="C123" s="16">
        <v>0.46200000000000002</v>
      </c>
      <c r="D123" s="16">
        <v>0.51149999999999995</v>
      </c>
      <c r="E123" s="16">
        <v>0.66790000000000005</v>
      </c>
      <c r="F123" s="16">
        <v>0.64490000000000003</v>
      </c>
      <c r="G123" s="16">
        <v>0.49809999999999999</v>
      </c>
      <c r="N123" s="64" t="s">
        <v>10</v>
      </c>
      <c r="O123" s="26">
        <v>0.60870000000000002</v>
      </c>
      <c r="P123" s="26">
        <v>0.52629999999999999</v>
      </c>
      <c r="Q123" s="26">
        <v>0.72370000000000001</v>
      </c>
      <c r="R123" s="26">
        <v>0.61939999999999995</v>
      </c>
      <c r="S123" s="26">
        <v>0.64659999999999995</v>
      </c>
      <c r="T123" s="1">
        <f t="shared" si="1"/>
        <v>0.62493999999999994</v>
      </c>
      <c r="U123" s="43">
        <f>T123-T126</f>
        <v>-0.23104000000000002</v>
      </c>
      <c r="V123" s="26">
        <v>0.62490000000000001</v>
      </c>
      <c r="W123" s="43">
        <f>V123-V126</f>
        <v>-0.23109999999999997</v>
      </c>
      <c r="Z123" s="77"/>
      <c r="AA123" s="16" t="s">
        <v>55</v>
      </c>
      <c r="AB123" s="1">
        <v>0.87580000000000002</v>
      </c>
      <c r="AC123" s="40">
        <v>0.73</v>
      </c>
      <c r="AD123" s="19">
        <f>(AD119*AL121-AD120*AD122)/(POWER(((AD119+AD120)*(AD119+AD122)*(AL121+AD120)*(AL121+AD122)),0.5))</f>
        <v>0.83133655600506451</v>
      </c>
      <c r="AE123" s="19">
        <f>(AE119*AM121-AE120*AE122)/(POWER(((AE119+AE120)*(AE119+AE122)*(AM121+AE120)*(AM121+AE122)),0.5))</f>
        <v>0.70805762873651468</v>
      </c>
      <c r="AF123" s="1">
        <v>0.78649999999999998</v>
      </c>
      <c r="AG123" s="1">
        <f t="shared" si="0"/>
        <v>0.78633883694831574</v>
      </c>
    </row>
    <row r="124" spans="1:42">
      <c r="A124" s="18"/>
      <c r="B124" s="16" t="s">
        <v>56</v>
      </c>
      <c r="C124" s="16">
        <v>0.72919999999999996</v>
      </c>
      <c r="D124" s="16">
        <v>0.71540000000000004</v>
      </c>
      <c r="E124" s="16">
        <v>0.80410000000000004</v>
      </c>
      <c r="F124" s="16">
        <v>0.78169999999999995</v>
      </c>
      <c r="G124" s="16">
        <v>0.72030000000000005</v>
      </c>
      <c r="N124" s="64" t="s">
        <v>49</v>
      </c>
      <c r="O124" s="27">
        <v>0.88890000000000002</v>
      </c>
      <c r="P124" s="27">
        <v>0.79310000000000003</v>
      </c>
      <c r="Q124" s="27">
        <v>0.82140000000000002</v>
      </c>
      <c r="R124" s="27">
        <v>0.76870000000000005</v>
      </c>
      <c r="S124" s="27">
        <v>0.85370000000000001</v>
      </c>
      <c r="T124" s="1">
        <f t="shared" si="1"/>
        <v>0.82516</v>
      </c>
      <c r="U124" s="43">
        <f>T124-T126</f>
        <v>-3.0819999999999959E-2</v>
      </c>
      <c r="V124" s="26">
        <v>0.82520000000000004</v>
      </c>
      <c r="W124" s="43">
        <f>V124-V126</f>
        <v>-3.0799999999999939E-2</v>
      </c>
      <c r="Z124" s="77"/>
      <c r="AA124" s="16" t="s">
        <v>56</v>
      </c>
      <c r="AB124" s="1">
        <v>0.9375</v>
      </c>
      <c r="AC124" s="40">
        <v>0.87909999999999999</v>
      </c>
      <c r="AD124" s="19">
        <f>(AD116*(1-AD118))/2+(AD116+1)*AD118/2</f>
        <v>0.91271904761904765</v>
      </c>
      <c r="AE124" s="19">
        <f>(AE116*(1-AE118))/2+(AE116+1)*AE118/2</f>
        <v>0.86272083591118442</v>
      </c>
      <c r="AF124" s="1">
        <v>0.89329999999999998</v>
      </c>
      <c r="AG124" s="1">
        <f t="shared" si="0"/>
        <v>0.89706797670604632</v>
      </c>
    </row>
    <row r="125" spans="1:42">
      <c r="A125" s="18"/>
      <c r="B125" s="16" t="s">
        <v>57</v>
      </c>
      <c r="C125" s="16">
        <v>0.72919999999999996</v>
      </c>
      <c r="D125" s="16">
        <v>0.82079999999999997</v>
      </c>
      <c r="E125" s="16">
        <v>0.93799999999999994</v>
      </c>
      <c r="F125" s="16">
        <v>0.92620000000000002</v>
      </c>
      <c r="G125" s="16">
        <v>0.90110000000000001</v>
      </c>
      <c r="N125" s="64" t="s">
        <v>13</v>
      </c>
      <c r="O125" s="26">
        <v>0.91669999999999996</v>
      </c>
      <c r="P125" s="62">
        <v>0.89659999999999995</v>
      </c>
      <c r="Q125" s="62">
        <v>0.85709999999999997</v>
      </c>
      <c r="R125" s="26">
        <v>0.68820000000000003</v>
      </c>
      <c r="S125" s="26">
        <v>0.77239999999999998</v>
      </c>
      <c r="T125" s="1">
        <f t="shared" si="1"/>
        <v>0.82620000000000005</v>
      </c>
      <c r="U125" s="43">
        <f>T125-T126</f>
        <v>-2.9779999999999918E-2</v>
      </c>
      <c r="V125" s="26">
        <v>0.82620000000000005</v>
      </c>
      <c r="W125" s="43">
        <f>V125-V126</f>
        <v>-2.9799999999999938E-2</v>
      </c>
      <c r="Z125" s="77"/>
      <c r="AA125" s="16" t="s">
        <v>57</v>
      </c>
      <c r="AB125" s="1">
        <v>0.9375</v>
      </c>
      <c r="AC125" s="40">
        <v>0.88680000000000003</v>
      </c>
      <c r="AD125" s="19">
        <f>(AD119+AL121)/(AD119+AD120+AD122+AL121)</f>
        <v>0.96630727762803237</v>
      </c>
      <c r="AE125" s="19">
        <f>(AE119+AM121)/(AE119+AE120+AE122+AM121)</f>
        <v>0.93167701863354035</v>
      </c>
      <c r="AF125" s="1">
        <v>0.9536</v>
      </c>
      <c r="AG125" s="1">
        <f t="shared" si="0"/>
        <v>0.93517685925231453</v>
      </c>
    </row>
    <row r="126" spans="1:42" ht="16.5" thickBot="1">
      <c r="A126" s="82" t="s">
        <v>64</v>
      </c>
      <c r="B126" s="16" t="s">
        <v>1</v>
      </c>
      <c r="C126" s="16">
        <v>0.70669999999999999</v>
      </c>
      <c r="D126" s="16">
        <v>0.51719999999999999</v>
      </c>
      <c r="E126" s="16">
        <v>4.65E-2</v>
      </c>
      <c r="F126" s="16">
        <v>0.1283</v>
      </c>
      <c r="G126" s="16">
        <v>0.59379999999999999</v>
      </c>
      <c r="N126" s="65" t="s">
        <v>50</v>
      </c>
      <c r="O126" s="61">
        <v>0.95830000000000004</v>
      </c>
      <c r="P126" s="42">
        <v>0.8276</v>
      </c>
      <c r="Q126" s="61">
        <v>0.85709999999999997</v>
      </c>
      <c r="R126" s="61">
        <v>0.77510000000000001</v>
      </c>
      <c r="S126" s="61">
        <v>0.86180000000000001</v>
      </c>
      <c r="T126" s="1">
        <f t="shared" si="1"/>
        <v>0.85597999999999996</v>
      </c>
      <c r="U126" s="43"/>
      <c r="V126" s="61">
        <v>0.85599999999999998</v>
      </c>
      <c r="W126" s="43"/>
      <c r="X126" s="11"/>
      <c r="Y126" s="11"/>
      <c r="Z126" s="78" t="s">
        <v>66</v>
      </c>
      <c r="AA126" s="24" t="s">
        <v>1</v>
      </c>
      <c r="AB126" s="24">
        <v>0.93879999999999997</v>
      </c>
      <c r="AC126" s="24">
        <v>0.8</v>
      </c>
      <c r="AD126" s="24">
        <v>0.90449999999999997</v>
      </c>
      <c r="AE126" s="24">
        <v>0.76449999999999996</v>
      </c>
      <c r="AF126" s="24">
        <v>0.78200000000000003</v>
      </c>
      <c r="AG126" s="16">
        <f t="shared" ref="AG126:AG169" si="4">AVERAGE(AB126:AF126)</f>
        <v>0.83796000000000004</v>
      </c>
      <c r="AP126" s="22">
        <f t="shared" ref="AP126:AP136" si="5">AG159-AG126</f>
        <v>4.1819999999999968E-2</v>
      </c>
    </row>
    <row r="127" spans="1:42">
      <c r="A127" s="82"/>
      <c r="B127" s="16" t="s">
        <v>2</v>
      </c>
      <c r="C127" s="16">
        <v>0.73609999999999998</v>
      </c>
      <c r="D127" s="16">
        <v>0.51719999999999999</v>
      </c>
      <c r="E127" s="16">
        <v>2.3800000000000002E-2</v>
      </c>
      <c r="F127" s="16">
        <v>7.0999999999999994E-2</v>
      </c>
      <c r="G127" s="16">
        <v>0.46339999999999998</v>
      </c>
      <c r="N127" s="64" t="s">
        <v>46</v>
      </c>
      <c r="O127" s="26">
        <v>0.76190000000000002</v>
      </c>
      <c r="P127" s="26">
        <v>0.77780000000000005</v>
      </c>
      <c r="Q127" s="26">
        <v>0.77939999999999998</v>
      </c>
      <c r="R127" s="26">
        <v>0.7984</v>
      </c>
      <c r="S127" s="26">
        <v>0.63439999999999996</v>
      </c>
      <c r="T127" s="1">
        <f t="shared" si="1"/>
        <v>0.75038000000000005</v>
      </c>
      <c r="U127" s="43">
        <f>T127-T132</f>
        <v>-0.15793999999999997</v>
      </c>
      <c r="V127" s="26">
        <v>0.75039999999999996</v>
      </c>
      <c r="W127" s="43">
        <f>V127-V132</f>
        <v>-0.15790000000000004</v>
      </c>
      <c r="Z127" s="79"/>
      <c r="AA127" s="16" t="s">
        <v>2</v>
      </c>
      <c r="AB127" s="16">
        <v>0.95830000000000004</v>
      </c>
      <c r="AC127" s="16">
        <v>0.8276</v>
      </c>
      <c r="AD127" s="16">
        <v>0.84519999999999995</v>
      </c>
      <c r="AE127" s="16">
        <v>0.81659999999999999</v>
      </c>
      <c r="AF127" s="16">
        <v>0.84550000000000003</v>
      </c>
      <c r="AG127" s="16">
        <f t="shared" si="4"/>
        <v>0.85864000000000007</v>
      </c>
      <c r="AP127" s="22">
        <f t="shared" si="5"/>
        <v>-2.6600000000001067E-3</v>
      </c>
    </row>
    <row r="128" spans="1:42">
      <c r="A128" s="82"/>
      <c r="B128" s="16" t="s">
        <v>47</v>
      </c>
      <c r="C128" s="16">
        <v>0.67949999999999999</v>
      </c>
      <c r="D128" s="16">
        <v>0.51719999999999999</v>
      </c>
      <c r="E128" s="16">
        <v>1</v>
      </c>
      <c r="F128" s="16">
        <v>0.66669999999999996</v>
      </c>
      <c r="G128" s="16">
        <v>0.82609999999999995</v>
      </c>
      <c r="N128" s="64" t="s">
        <v>11</v>
      </c>
      <c r="O128" s="26">
        <v>0.67949999999999999</v>
      </c>
      <c r="P128" s="26">
        <v>0.51719999999999999</v>
      </c>
      <c r="Q128" s="62">
        <v>1</v>
      </c>
      <c r="R128" s="26">
        <v>0.66669999999999996</v>
      </c>
      <c r="S128" s="62">
        <v>0.82609999999999995</v>
      </c>
      <c r="T128" s="1">
        <f t="shared" si="1"/>
        <v>0.7379</v>
      </c>
      <c r="U128" s="43">
        <f>T128-T132</f>
        <v>-0.17042000000000002</v>
      </c>
      <c r="V128" s="26">
        <v>0.7379</v>
      </c>
      <c r="W128" s="43">
        <f>V128-V132</f>
        <v>-0.1704</v>
      </c>
      <c r="Z128" s="79"/>
      <c r="AA128" s="16" t="s">
        <v>47</v>
      </c>
      <c r="AB128" s="16">
        <v>0.92</v>
      </c>
      <c r="AC128" s="16">
        <v>0.7742</v>
      </c>
      <c r="AD128" s="16">
        <v>0.97260000000000002</v>
      </c>
      <c r="AE128" s="16">
        <v>0.71879999999999999</v>
      </c>
      <c r="AF128" s="16">
        <v>0.72729999999999995</v>
      </c>
      <c r="AG128" s="16">
        <f t="shared" si="4"/>
        <v>0.82257999999999998</v>
      </c>
      <c r="AP128" s="22">
        <f t="shared" si="5"/>
        <v>8.5740000000000038E-2</v>
      </c>
    </row>
    <row r="129" spans="1:42">
      <c r="A129" s="82"/>
      <c r="B129" s="16" t="s">
        <v>48</v>
      </c>
      <c r="C129" s="16">
        <v>0.65280000000000005</v>
      </c>
      <c r="D129" s="16">
        <v>0.81820000000000004</v>
      </c>
      <c r="E129" s="16">
        <v>1</v>
      </c>
      <c r="F129" s="16">
        <v>0.99460000000000004</v>
      </c>
      <c r="G129" s="16">
        <v>0.98619999999999997</v>
      </c>
      <c r="N129" s="64" t="s">
        <v>10</v>
      </c>
      <c r="O129" s="26">
        <v>0.5</v>
      </c>
      <c r="P129" s="26">
        <v>0.5</v>
      </c>
      <c r="Q129" s="26">
        <v>0.29409999999999997</v>
      </c>
      <c r="R129" s="26">
        <v>0.32879999999999998</v>
      </c>
      <c r="S129" s="26">
        <v>0.3695</v>
      </c>
      <c r="T129" s="1">
        <f t="shared" si="1"/>
        <v>0.39848</v>
      </c>
      <c r="U129" s="43">
        <f>T129-T132</f>
        <v>-0.50984000000000007</v>
      </c>
      <c r="V129" s="26">
        <v>0.39850000000000002</v>
      </c>
      <c r="W129" s="43">
        <f>V129-V132</f>
        <v>-0.50980000000000003</v>
      </c>
      <c r="Z129" s="79"/>
      <c r="AA129" s="16" t="s">
        <v>48</v>
      </c>
      <c r="AB129" s="16">
        <f>1-0.0833</f>
        <v>0.91669999999999996</v>
      </c>
      <c r="AC129" s="16">
        <f>1-0.0909</f>
        <v>0.90910000000000002</v>
      </c>
      <c r="AD129" s="16">
        <f>1-0.003</f>
        <v>0.997</v>
      </c>
      <c r="AE129" s="16">
        <f>1-0.0483</f>
        <v>0.95169999999999999</v>
      </c>
      <c r="AF129" s="16">
        <f>1-0.0449</f>
        <v>0.95509999999999995</v>
      </c>
      <c r="AG129" s="16">
        <f t="shared" si="4"/>
        <v>0.94591999999999987</v>
      </c>
      <c r="AP129" s="22">
        <f t="shared" si="5"/>
        <v>2.8480000000000061E-2</v>
      </c>
    </row>
    <row r="130" spans="1:42">
      <c r="A130" s="18"/>
      <c r="B130" s="16" t="s">
        <v>51</v>
      </c>
      <c r="C130" s="16">
        <f>72*C127</f>
        <v>52.999200000000002</v>
      </c>
      <c r="D130" s="16">
        <f>29*D127</f>
        <v>14.998799999999999</v>
      </c>
      <c r="E130" s="16">
        <f>84*E127</f>
        <v>1.9992000000000001</v>
      </c>
      <c r="F130" s="16">
        <f>1288*F127</f>
        <v>91.447999999999993</v>
      </c>
      <c r="G130" s="16">
        <f>123*G127</f>
        <v>56.998199999999997</v>
      </c>
      <c r="N130" s="64" t="s">
        <v>49</v>
      </c>
      <c r="O130" s="27">
        <v>0.90139999999999998</v>
      </c>
      <c r="P130" s="27">
        <v>0.6764</v>
      </c>
      <c r="Q130" s="27">
        <v>0.93240000000000001</v>
      </c>
      <c r="R130" s="27">
        <v>0.8306</v>
      </c>
      <c r="S130" s="27">
        <v>0.69979999999999998</v>
      </c>
      <c r="T130" s="1">
        <f t="shared" si="1"/>
        <v>0.80811999999999995</v>
      </c>
      <c r="U130" s="43">
        <f>T130-T132</f>
        <v>-0.10020000000000007</v>
      </c>
      <c r="V130" s="26">
        <v>0.80810000000000004</v>
      </c>
      <c r="W130" s="43">
        <f>V130-V132</f>
        <v>-0.10019999999999996</v>
      </c>
      <c r="Z130" s="79"/>
      <c r="AA130" s="16" t="s">
        <v>51</v>
      </c>
      <c r="AB130" s="16">
        <f>72*AB127</f>
        <v>68.997600000000006</v>
      </c>
      <c r="AC130" s="16">
        <f>29*AC127</f>
        <v>24.000399999999999</v>
      </c>
      <c r="AD130" s="16">
        <f>84*AD127</f>
        <v>70.996799999999993</v>
      </c>
      <c r="AE130" s="19">
        <f>169*AE127</f>
        <v>138.00540000000001</v>
      </c>
      <c r="AF130" s="16">
        <f>123*AF127</f>
        <v>103.9965</v>
      </c>
      <c r="AG130" s="16">
        <f t="shared" si="4"/>
        <v>81.199340000000007</v>
      </c>
      <c r="AP130" s="22">
        <f t="shared" si="5"/>
        <v>-0.80180000000000007</v>
      </c>
    </row>
    <row r="131" spans="1:42">
      <c r="A131" s="18"/>
      <c r="B131" s="16" t="s">
        <v>52</v>
      </c>
      <c r="C131" s="16">
        <f>((1-C128)*C130)/C128</f>
        <v>24.998150993377486</v>
      </c>
      <c r="D131" s="16">
        <f t="shared" ref="D131" si="6">((1-D128)*D130)/D128</f>
        <v>14.001199999999999</v>
      </c>
      <c r="E131" s="16">
        <f t="shared" ref="E131" si="7">((1-E128)*E130)/E128</f>
        <v>0</v>
      </c>
      <c r="F131" s="16">
        <f t="shared" ref="F131" si="8">((1-F128)*F130)/F128</f>
        <v>45.717141742912865</v>
      </c>
      <c r="G131" s="16">
        <f t="shared" ref="G131" si="9">((1-G128)*G130)/G128</f>
        <v>11.998531630553204</v>
      </c>
      <c r="N131" s="64" t="s">
        <v>13</v>
      </c>
      <c r="O131" s="26">
        <v>0.92959999999999998</v>
      </c>
      <c r="P131" s="26">
        <v>0.68420000000000003</v>
      </c>
      <c r="Q131" s="26">
        <v>0.93510000000000004</v>
      </c>
      <c r="R131" s="62">
        <v>0.94399999999999995</v>
      </c>
      <c r="S131" s="26">
        <v>0.79830000000000001</v>
      </c>
      <c r="T131" s="1">
        <f t="shared" si="1"/>
        <v>0.85824</v>
      </c>
      <c r="U131" s="43">
        <f>T131-T132</f>
        <v>-5.0080000000000013E-2</v>
      </c>
      <c r="V131" s="26">
        <v>0.85819999999999996</v>
      </c>
      <c r="W131" s="43">
        <f>V131-V132</f>
        <v>-5.0100000000000033E-2</v>
      </c>
      <c r="Z131" s="79"/>
      <c r="AA131" s="16" t="s">
        <v>52</v>
      </c>
      <c r="AB131" s="16">
        <f>((1-AB128)*AB130)/AB128</f>
        <v>5.9997913043478235</v>
      </c>
      <c r="AC131" s="16">
        <f t="shared" ref="AC131:AF131" si="10">((1-AC128)*AC130)/AC128</f>
        <v>6.9998583311805733</v>
      </c>
      <c r="AD131" s="16">
        <f t="shared" si="10"/>
        <v>2.0001154842689681</v>
      </c>
      <c r="AE131" s="16">
        <f t="shared" si="10"/>
        <v>53.988756928213689</v>
      </c>
      <c r="AF131" s="16">
        <f t="shared" si="10"/>
        <v>38.993325381548203</v>
      </c>
      <c r="AG131" s="16">
        <f t="shared" si="4"/>
        <v>21.59636948591185</v>
      </c>
      <c r="AP131" s="22">
        <f t="shared" si="5"/>
        <v>-11.797280315183404</v>
      </c>
    </row>
    <row r="132" spans="1:42" ht="16.5" thickBot="1">
      <c r="A132" s="18"/>
      <c r="B132" s="16" t="s">
        <v>53</v>
      </c>
      <c r="C132" s="16">
        <f>144-72</f>
        <v>72</v>
      </c>
      <c r="D132" s="16">
        <f>106-29</f>
        <v>77</v>
      </c>
      <c r="E132" s="16">
        <f>742-84</f>
        <v>658</v>
      </c>
      <c r="F132" s="16">
        <f>1288-169</f>
        <v>1119</v>
      </c>
      <c r="G132" s="16">
        <f>991-123</f>
        <v>868</v>
      </c>
      <c r="H132" s="16" t="s">
        <v>58</v>
      </c>
      <c r="I132" s="16">
        <f>C132-C131</f>
        <v>47.001849006622514</v>
      </c>
      <c r="J132" s="16">
        <f>D132-D131</f>
        <v>62.998800000000003</v>
      </c>
      <c r="K132" s="16">
        <f>E132-E131</f>
        <v>658</v>
      </c>
      <c r="L132" s="16">
        <f>F132-F131</f>
        <v>1073.2828582570871</v>
      </c>
      <c r="M132" s="16">
        <f>G132-G131</f>
        <v>856.0014683694468</v>
      </c>
      <c r="N132" s="65" t="s">
        <v>50</v>
      </c>
      <c r="O132" s="61">
        <v>0.94520000000000004</v>
      </c>
      <c r="P132" s="61">
        <v>0.92310000000000003</v>
      </c>
      <c r="Q132" s="42">
        <v>0.97299999999999998</v>
      </c>
      <c r="R132" s="42">
        <v>0.89729999999999999</v>
      </c>
      <c r="S132" s="42">
        <v>0.80300000000000005</v>
      </c>
      <c r="T132" s="1">
        <f t="shared" si="1"/>
        <v>0.90832000000000002</v>
      </c>
      <c r="U132" s="43"/>
      <c r="V132" s="61">
        <v>0.9083</v>
      </c>
      <c r="W132" s="43"/>
      <c r="Z132" s="79"/>
      <c r="AA132" s="16" t="s">
        <v>53</v>
      </c>
      <c r="AB132" s="16">
        <f>144-72</f>
        <v>72</v>
      </c>
      <c r="AC132" s="16">
        <f>106-29</f>
        <v>77</v>
      </c>
      <c r="AD132" s="16">
        <f>742-84</f>
        <v>658</v>
      </c>
      <c r="AE132" s="16">
        <f>1288-169</f>
        <v>1119</v>
      </c>
      <c r="AF132" s="16">
        <f>991-123</f>
        <v>868</v>
      </c>
      <c r="AG132" s="16">
        <f t="shared" si="4"/>
        <v>558.79999999999995</v>
      </c>
      <c r="AI132" s="16" t="s">
        <v>58</v>
      </c>
      <c r="AJ132" s="16">
        <f>AB132-AB131</f>
        <v>66.000208695652177</v>
      </c>
      <c r="AK132" s="16">
        <f t="shared" ref="AK132" si="11">AC132-AC131</f>
        <v>70.000141668819424</v>
      </c>
      <c r="AL132" s="16">
        <f t="shared" ref="AL132" si="12">AD132-AD131</f>
        <v>655.99988451573108</v>
      </c>
      <c r="AM132" s="16">
        <f t="shared" ref="AM132" si="13">AE132-AE131</f>
        <v>1065.0112430717863</v>
      </c>
      <c r="AN132" s="16">
        <f t="shared" ref="AN132" si="14">AF132-AF131</f>
        <v>829.00667461845183</v>
      </c>
      <c r="AO132" s="16"/>
      <c r="AP132" s="22">
        <f t="shared" si="5"/>
        <v>0</v>
      </c>
    </row>
    <row r="133" spans="1:42">
      <c r="A133" s="18"/>
      <c r="B133" s="16" t="s">
        <v>54</v>
      </c>
      <c r="C133" s="16">
        <f>(1-C127)*C130/C127</f>
        <v>19.000800000000002</v>
      </c>
      <c r="D133" s="16">
        <f t="shared" ref="D133:G133" si="15">(1-D127)*D130/D127</f>
        <v>14.001199999999999</v>
      </c>
      <c r="E133" s="16">
        <f t="shared" si="15"/>
        <v>82.000799999999998</v>
      </c>
      <c r="F133" s="16">
        <f t="shared" si="15"/>
        <v>1196.5520000000001</v>
      </c>
      <c r="G133" s="16">
        <f t="shared" si="15"/>
        <v>66.001799999999989</v>
      </c>
      <c r="N133" s="64" t="s">
        <v>46</v>
      </c>
      <c r="O133" s="26">
        <v>0.79169999999999996</v>
      </c>
      <c r="P133" s="26">
        <v>0.94810000000000005</v>
      </c>
      <c r="Q133" s="26">
        <v>0.97719999999999996</v>
      </c>
      <c r="R133" s="26">
        <v>0.97760000000000002</v>
      </c>
      <c r="S133" s="26">
        <v>0.96079999999999999</v>
      </c>
      <c r="T133" s="1">
        <f t="shared" si="1"/>
        <v>0.93108000000000002</v>
      </c>
      <c r="U133" s="43">
        <f>T133-T138</f>
        <v>-4.3319999999999914E-2</v>
      </c>
      <c r="V133" s="26">
        <v>0.93110000000000004</v>
      </c>
      <c r="W133" s="43">
        <f>V133-V138</f>
        <v>-4.3300000000000005E-2</v>
      </c>
      <c r="Z133" s="79"/>
      <c r="AA133" s="16" t="s">
        <v>54</v>
      </c>
      <c r="AB133" s="16">
        <f>(1-AB127)*AB130/AB127</f>
        <v>3.0023999999999975</v>
      </c>
      <c r="AC133" s="16">
        <f t="shared" ref="AC133:AF133" si="16">(1-AC127)*AC130/AC127</f>
        <v>4.9996</v>
      </c>
      <c r="AD133" s="16">
        <f t="shared" si="16"/>
        <v>13.003200000000005</v>
      </c>
      <c r="AE133" s="16">
        <f t="shared" si="16"/>
        <v>30.994600000000005</v>
      </c>
      <c r="AF133" s="16">
        <f t="shared" si="16"/>
        <v>19.003499999999995</v>
      </c>
      <c r="AG133" s="16">
        <f t="shared" si="4"/>
        <v>14.200659999999999</v>
      </c>
      <c r="AP133" s="22">
        <f t="shared" si="5"/>
        <v>0.80180000000000007</v>
      </c>
    </row>
    <row r="134" spans="1:42">
      <c r="A134" s="18"/>
      <c r="B134" s="16" t="s">
        <v>55</v>
      </c>
      <c r="C134" s="16">
        <v>0.39019999999999999</v>
      </c>
      <c r="D134" s="16">
        <v>0.33539999999999998</v>
      </c>
      <c r="E134" s="16">
        <v>0.14549999999999999</v>
      </c>
      <c r="F134" s="16">
        <v>0.33160000000000001</v>
      </c>
      <c r="G134" s="16">
        <v>0.58240000000000003</v>
      </c>
      <c r="N134" s="64" t="s">
        <v>11</v>
      </c>
      <c r="O134" s="26">
        <v>0.65280000000000005</v>
      </c>
      <c r="P134" s="26">
        <v>0.81820000000000004</v>
      </c>
      <c r="Q134" s="62">
        <v>1</v>
      </c>
      <c r="R134" s="26">
        <v>0.99460000000000004</v>
      </c>
      <c r="S134" s="62">
        <v>0.98619999999999997</v>
      </c>
      <c r="T134" s="1">
        <f t="shared" si="1"/>
        <v>0.89036000000000004</v>
      </c>
      <c r="U134" s="43">
        <f>T134-T138</f>
        <v>-8.4039999999999893E-2</v>
      </c>
      <c r="V134" s="26">
        <v>0.89039999999999997</v>
      </c>
      <c r="W134" s="43">
        <f>V134-V138</f>
        <v>-8.4000000000000075E-2</v>
      </c>
      <c r="Z134" s="79"/>
      <c r="AA134" s="16" t="s">
        <v>55</v>
      </c>
      <c r="AB134" s="16">
        <v>0.87580000000000002</v>
      </c>
      <c r="AC134" s="16">
        <v>0.72199999999999998</v>
      </c>
      <c r="AD134" s="16">
        <v>0.89600000000000002</v>
      </c>
      <c r="AE134" s="16">
        <v>0.72829999999999995</v>
      </c>
      <c r="AF134" s="16">
        <v>0.75119999999999998</v>
      </c>
      <c r="AG134" s="16">
        <f t="shared" si="4"/>
        <v>0.79465999999999992</v>
      </c>
      <c r="AP134" s="22">
        <f t="shared" si="5"/>
        <v>5.6340000000000057E-2</v>
      </c>
    </row>
    <row r="135" spans="1:42">
      <c r="A135" s="18"/>
      <c r="B135" s="16" t="s">
        <v>56</v>
      </c>
      <c r="C135" s="16">
        <v>0.69440000000000002</v>
      </c>
      <c r="D135" s="16">
        <v>0.66769999999999996</v>
      </c>
      <c r="E135" s="16">
        <v>0.51190000000000002</v>
      </c>
      <c r="F135" s="16">
        <v>0.71140000000000003</v>
      </c>
      <c r="G135" s="16">
        <v>0.7248</v>
      </c>
      <c r="N135" s="64" t="s">
        <v>10</v>
      </c>
      <c r="O135" s="26">
        <v>0.44</v>
      </c>
      <c r="P135" s="26">
        <v>0.83609999999999995</v>
      </c>
      <c r="Q135" s="26">
        <v>0.77849999999999997</v>
      </c>
      <c r="R135" s="26">
        <v>0.8034</v>
      </c>
      <c r="S135" s="26">
        <v>0.83919999999999995</v>
      </c>
      <c r="T135" s="1">
        <f t="shared" si="1"/>
        <v>0.73943999999999988</v>
      </c>
      <c r="U135" s="43">
        <f>T135-T138</f>
        <v>-0.23496000000000006</v>
      </c>
      <c r="V135" s="26">
        <v>0.73939999999999995</v>
      </c>
      <c r="W135" s="43">
        <f>V135-V138</f>
        <v>-0.2350000000000001</v>
      </c>
      <c r="Z135" s="79"/>
      <c r="AA135" s="16" t="s">
        <v>56</v>
      </c>
      <c r="AB135" s="16">
        <v>0.9375</v>
      </c>
      <c r="AC135" s="16">
        <v>0.86829999999999996</v>
      </c>
      <c r="AD135" s="16">
        <v>0.92110000000000003</v>
      </c>
      <c r="AE135" s="16">
        <v>0.8841</v>
      </c>
      <c r="AF135" s="16">
        <v>0.90029999999999999</v>
      </c>
      <c r="AG135" s="16">
        <f t="shared" si="4"/>
        <v>0.90226000000000006</v>
      </c>
      <c r="AP135" s="22">
        <f t="shared" si="5"/>
        <v>1.2959999999999972E-2</v>
      </c>
    </row>
    <row r="136" spans="1:42">
      <c r="A136" s="18"/>
      <c r="B136" s="16" t="s">
        <v>57</v>
      </c>
      <c r="C136" s="16">
        <v>0.69440000000000002</v>
      </c>
      <c r="D136" s="16">
        <v>0.73580000000000001</v>
      </c>
      <c r="E136" s="16">
        <v>0.88949999999999996</v>
      </c>
      <c r="F136" s="16">
        <v>0.77859999999999996</v>
      </c>
      <c r="G136" s="16">
        <v>0.92130000000000001</v>
      </c>
      <c r="N136" s="64" t="s">
        <v>49</v>
      </c>
      <c r="O136" s="27">
        <v>0.90280000000000005</v>
      </c>
      <c r="P136" s="27">
        <v>0.85709999999999997</v>
      </c>
      <c r="Q136" s="27">
        <v>0.99239999999999995</v>
      </c>
      <c r="R136" s="27">
        <v>0.81950000000000001</v>
      </c>
      <c r="S136" s="27">
        <v>0.94810000000000005</v>
      </c>
      <c r="T136" s="1">
        <f t="shared" si="1"/>
        <v>0.90398000000000001</v>
      </c>
      <c r="U136" s="43">
        <f>T136-T138</f>
        <v>-7.0419999999999927E-2</v>
      </c>
      <c r="V136" s="26">
        <v>0.90400000000000003</v>
      </c>
      <c r="W136" s="43">
        <f>V136-V138</f>
        <v>-7.0400000000000018E-2</v>
      </c>
      <c r="Z136" s="80"/>
      <c r="AA136" s="16" t="s">
        <v>57</v>
      </c>
      <c r="AB136" s="16">
        <v>0.9375</v>
      </c>
      <c r="AC136" s="16">
        <v>0.88680000000000003</v>
      </c>
      <c r="AD136" s="16">
        <v>0.9798</v>
      </c>
      <c r="AE136" s="16">
        <v>0.93400000000000005</v>
      </c>
      <c r="AF136" s="16">
        <v>0.9415</v>
      </c>
      <c r="AG136" s="16">
        <f t="shared" si="4"/>
        <v>0.93592000000000009</v>
      </c>
      <c r="AP136" s="22">
        <f t="shared" si="5"/>
        <v>2.0459999999999923E-2</v>
      </c>
    </row>
    <row r="137" spans="1:42">
      <c r="A137" s="82" t="s">
        <v>65</v>
      </c>
      <c r="B137" s="16" t="s">
        <v>1</v>
      </c>
      <c r="C137" s="16">
        <v>0.54900000000000004</v>
      </c>
      <c r="D137" s="16">
        <v>0.51280000000000003</v>
      </c>
      <c r="E137" s="16">
        <v>0.41830000000000001</v>
      </c>
      <c r="F137" s="16">
        <v>0.42949999999999999</v>
      </c>
      <c r="G137" s="16">
        <v>0.47020000000000001</v>
      </c>
      <c r="N137" s="64" t="s">
        <v>13</v>
      </c>
      <c r="O137" s="26">
        <v>0.93059999999999998</v>
      </c>
      <c r="P137" s="26">
        <v>0.84419999999999995</v>
      </c>
      <c r="Q137" s="26">
        <v>0.99239999999999995</v>
      </c>
      <c r="R137" s="62">
        <v>0.99370000000000003</v>
      </c>
      <c r="S137" s="26">
        <v>0.97240000000000004</v>
      </c>
      <c r="T137" s="1">
        <f t="shared" si="1"/>
        <v>0.94665999999999995</v>
      </c>
      <c r="U137" s="43">
        <f>T137-T138</f>
        <v>-2.7739999999999987E-2</v>
      </c>
      <c r="V137" s="26">
        <v>0.94669999999999999</v>
      </c>
      <c r="W137" s="43">
        <f>V137-V138</f>
        <v>-2.7700000000000058E-2</v>
      </c>
      <c r="Z137" s="78" t="s">
        <v>60</v>
      </c>
      <c r="AA137" s="24" t="s">
        <v>1</v>
      </c>
      <c r="AB137" s="24">
        <v>0.94520000000000004</v>
      </c>
      <c r="AC137" s="24">
        <v>0.83020000000000005</v>
      </c>
      <c r="AD137" s="24">
        <v>0.9</v>
      </c>
      <c r="AE137" s="24">
        <v>0.83020000000000005</v>
      </c>
      <c r="AF137" s="24">
        <v>0.82310000000000005</v>
      </c>
      <c r="AG137" s="16">
        <f t="shared" si="4"/>
        <v>0.86574000000000007</v>
      </c>
      <c r="AP137" s="22">
        <f t="shared" ref="AP137:AP147" si="17">AG159-AG137</f>
        <v>1.4039999999999941E-2</v>
      </c>
    </row>
    <row r="138" spans="1:42" ht="16.5" thickBot="1">
      <c r="A138" s="82"/>
      <c r="B138" s="16" t="s">
        <v>2</v>
      </c>
      <c r="C138" s="16">
        <v>0.60870000000000002</v>
      </c>
      <c r="D138" s="16">
        <v>0.52629999999999999</v>
      </c>
      <c r="E138" s="16">
        <v>0.72370000000000001</v>
      </c>
      <c r="F138" s="16">
        <v>0.61939999999999995</v>
      </c>
      <c r="G138" s="16">
        <v>0.64659999999999995</v>
      </c>
      <c r="N138" s="65" t="s">
        <v>50</v>
      </c>
      <c r="O138" s="61">
        <v>0.94440000000000002</v>
      </c>
      <c r="P138" s="61">
        <v>0.97399999999999998</v>
      </c>
      <c r="Q138" s="42">
        <v>0.997</v>
      </c>
      <c r="R138" s="42">
        <v>0.98660000000000003</v>
      </c>
      <c r="S138" s="42">
        <v>0.97</v>
      </c>
      <c r="T138" s="1">
        <f t="shared" si="1"/>
        <v>0.97439999999999993</v>
      </c>
      <c r="U138" s="43"/>
      <c r="V138" s="61">
        <v>0.97440000000000004</v>
      </c>
      <c r="W138" s="43"/>
      <c r="Z138" s="79"/>
      <c r="AA138" s="16" t="s">
        <v>2</v>
      </c>
      <c r="AB138" s="16">
        <v>0.95830000000000004</v>
      </c>
      <c r="AC138" s="16">
        <v>0.75860000000000005</v>
      </c>
      <c r="AD138" s="16">
        <v>0.85709999999999997</v>
      </c>
      <c r="AE138" s="16">
        <v>0.78110000000000002</v>
      </c>
      <c r="AF138" s="16">
        <v>0.86990000000000001</v>
      </c>
      <c r="AG138" s="16">
        <f t="shared" si="4"/>
        <v>0.84499999999999997</v>
      </c>
      <c r="AP138" s="22">
        <f t="shared" si="17"/>
        <v>1.097999999999999E-2</v>
      </c>
    </row>
    <row r="139" spans="1:42">
      <c r="A139" s="82"/>
      <c r="B139" s="16" t="s">
        <v>47</v>
      </c>
      <c r="C139" s="16">
        <v>0.5</v>
      </c>
      <c r="D139" s="16">
        <v>0.5</v>
      </c>
      <c r="E139" s="16">
        <v>0.29409999999999997</v>
      </c>
      <c r="F139" s="16">
        <v>0.32879999999999998</v>
      </c>
      <c r="G139" s="16">
        <v>0.3695</v>
      </c>
      <c r="N139" s="64" t="s">
        <v>46</v>
      </c>
      <c r="O139" s="26">
        <v>0.46200000000000002</v>
      </c>
      <c r="P139" s="26">
        <v>0.51149999999999995</v>
      </c>
      <c r="Q139" s="26">
        <v>0.66790000000000005</v>
      </c>
      <c r="R139" s="26">
        <v>0.64490000000000003</v>
      </c>
      <c r="S139" s="26">
        <v>0.49809999999999999</v>
      </c>
      <c r="T139" s="1">
        <f t="shared" si="1"/>
        <v>0.55687999999999993</v>
      </c>
      <c r="U139" s="43">
        <f>T139-T144</f>
        <v>-0.29412000000000005</v>
      </c>
      <c r="V139" s="26">
        <v>0.55689999999999995</v>
      </c>
      <c r="W139" s="43">
        <f>V139-V144</f>
        <v>-0.29410000000000003</v>
      </c>
      <c r="Z139" s="79"/>
      <c r="AA139" s="16" t="s">
        <v>47</v>
      </c>
      <c r="AB139" s="16">
        <v>0.93240000000000001</v>
      </c>
      <c r="AC139" s="16">
        <v>0.91669999999999996</v>
      </c>
      <c r="AD139" s="16">
        <v>0.94740000000000002</v>
      </c>
      <c r="AE139" s="16">
        <v>0.88590000000000002</v>
      </c>
      <c r="AF139" s="16">
        <v>0.78100000000000003</v>
      </c>
      <c r="AG139" s="16">
        <f t="shared" si="4"/>
        <v>0.89268000000000003</v>
      </c>
      <c r="AP139" s="22">
        <f t="shared" si="17"/>
        <v>1.5639999999999987E-2</v>
      </c>
    </row>
    <row r="140" spans="1:42">
      <c r="A140" s="82"/>
      <c r="B140" s="16" t="s">
        <v>48</v>
      </c>
      <c r="C140" s="16">
        <v>0.43999999999999995</v>
      </c>
      <c r="D140" s="16">
        <v>0.83609999999999995</v>
      </c>
      <c r="E140" s="16">
        <v>0.77849999999999997</v>
      </c>
      <c r="F140" s="16">
        <v>0.8034</v>
      </c>
      <c r="G140" s="16">
        <v>0.83920000000000006</v>
      </c>
      <c r="N140" s="64" t="s">
        <v>11</v>
      </c>
      <c r="O140" s="26">
        <v>0.39019999999999999</v>
      </c>
      <c r="P140" s="26">
        <v>0.33539999999999998</v>
      </c>
      <c r="Q140" s="26">
        <v>0.14549999999999999</v>
      </c>
      <c r="R140" s="26">
        <v>0.33160000000000001</v>
      </c>
      <c r="S140" s="26">
        <v>0.58240000000000003</v>
      </c>
      <c r="T140" s="1">
        <f t="shared" si="1"/>
        <v>0.35702</v>
      </c>
      <c r="U140" s="43">
        <f>T140-T144</f>
        <v>-0.49397999999999997</v>
      </c>
      <c r="V140" s="26">
        <v>0.35699999999999998</v>
      </c>
      <c r="W140" s="43">
        <f>V140-V144</f>
        <v>-0.49399999999999999</v>
      </c>
      <c r="Z140" s="79"/>
      <c r="AA140" s="16" t="s">
        <v>48</v>
      </c>
      <c r="AB140" s="16">
        <f>1-0.0694</f>
        <v>0.93059999999999998</v>
      </c>
      <c r="AC140" s="16">
        <f>1-0.026</f>
        <v>0.97399999999999998</v>
      </c>
      <c r="AD140" s="16">
        <f>1-0.0061</f>
        <v>0.99390000000000001</v>
      </c>
      <c r="AE140" s="16">
        <f>1-0.0152</f>
        <v>0.98480000000000001</v>
      </c>
      <c r="AF140" s="16">
        <f>1-0.0346</f>
        <v>0.96540000000000004</v>
      </c>
      <c r="AG140" s="16">
        <f t="shared" si="4"/>
        <v>0.96974000000000005</v>
      </c>
      <c r="AP140" s="22">
        <f t="shared" si="17"/>
        <v>4.6599999999998865E-3</v>
      </c>
    </row>
    <row r="141" spans="1:42">
      <c r="A141" s="18"/>
      <c r="B141" s="16" t="s">
        <v>51</v>
      </c>
      <c r="C141" s="16">
        <f>72*C138</f>
        <v>43.8264</v>
      </c>
      <c r="D141" s="16">
        <f>29*D138</f>
        <v>15.262699999999999</v>
      </c>
      <c r="E141" s="16">
        <f>84*E138</f>
        <v>60.790800000000004</v>
      </c>
      <c r="F141" s="16">
        <f>1288*F138</f>
        <v>797.78719999999998</v>
      </c>
      <c r="G141" s="16">
        <f>123*G138</f>
        <v>79.53179999999999</v>
      </c>
      <c r="N141" s="64" t="s">
        <v>10</v>
      </c>
      <c r="O141" s="26">
        <v>4.9299999999999997E-2</v>
      </c>
      <c r="P141" s="26">
        <v>0.35610000000000003</v>
      </c>
      <c r="Q141" s="26">
        <v>0.35489999999999999</v>
      </c>
      <c r="R141" s="26">
        <v>0.1888</v>
      </c>
      <c r="S141" s="26">
        <v>0.3891</v>
      </c>
      <c r="T141" s="1">
        <f t="shared" si="1"/>
        <v>0.26763999999999999</v>
      </c>
      <c r="U141" s="43">
        <f>T141-T144</f>
        <v>-0.58335999999999999</v>
      </c>
      <c r="V141" s="26">
        <v>0.2676</v>
      </c>
      <c r="W141" s="43">
        <f>V141-V144</f>
        <v>-0.58339999999999992</v>
      </c>
      <c r="Z141" s="79"/>
      <c r="AA141" s="16" t="s">
        <v>51</v>
      </c>
      <c r="AB141" s="16">
        <f>72*AB138</f>
        <v>68.997600000000006</v>
      </c>
      <c r="AC141" s="16">
        <f>29*AC138</f>
        <v>21.999400000000001</v>
      </c>
      <c r="AD141" s="16">
        <f>84*AD138</f>
        <v>71.996399999999994</v>
      </c>
      <c r="AE141" s="19">
        <f>169*AE138</f>
        <v>132.0059</v>
      </c>
      <c r="AF141" s="16">
        <f>123*AF138</f>
        <v>106.99769999999999</v>
      </c>
      <c r="AG141" s="16">
        <f t="shared" si="4"/>
        <v>80.3994</v>
      </c>
      <c r="AP141" s="22">
        <f t="shared" si="17"/>
        <v>-1.8599999999935335E-3</v>
      </c>
    </row>
    <row r="142" spans="1:42">
      <c r="A142" s="18"/>
      <c r="B142" s="16" t="s">
        <v>52</v>
      </c>
      <c r="C142" s="16">
        <f>((1-C139)*C141)/C139</f>
        <v>43.8264</v>
      </c>
      <c r="D142" s="16">
        <f t="shared" ref="D142" si="18">((1-D139)*D141)/D139</f>
        <v>15.262699999999999</v>
      </c>
      <c r="E142" s="16">
        <f t="shared" ref="E142" si="19">((1-E139)*E141)/E139</f>
        <v>145.91032206732407</v>
      </c>
      <c r="F142" s="16">
        <f t="shared" ref="F142" si="20">((1-F139)*F141)/F139</f>
        <v>1628.572897323601</v>
      </c>
      <c r="G142" s="16">
        <f t="shared" ref="G142" si="21">((1-G139)*G141)/G139</f>
        <v>135.70987794316642</v>
      </c>
      <c r="N142" s="64" t="s">
        <v>49</v>
      </c>
      <c r="O142" s="27">
        <v>0.79169999999999996</v>
      </c>
      <c r="P142" s="27">
        <v>0.62090000000000001</v>
      </c>
      <c r="Q142" s="27">
        <v>0.86050000000000004</v>
      </c>
      <c r="R142" s="27">
        <v>0.58679999999999999</v>
      </c>
      <c r="S142" s="27">
        <v>0.73750000000000004</v>
      </c>
      <c r="T142" s="1">
        <f t="shared" si="1"/>
        <v>0.7194799999999999</v>
      </c>
      <c r="U142" s="43">
        <f>T142-T144</f>
        <v>-0.13152000000000008</v>
      </c>
      <c r="V142" s="26">
        <v>0.71950000000000003</v>
      </c>
      <c r="W142" s="43">
        <f>V142-V144</f>
        <v>-0.13149999999999995</v>
      </c>
      <c r="Z142" s="79"/>
      <c r="AA142" s="16" t="s">
        <v>52</v>
      </c>
      <c r="AB142" s="16">
        <f>((1-AB139)*AB141)/AB139</f>
        <v>5.0023999999999997</v>
      </c>
      <c r="AC142" s="16">
        <f t="shared" ref="AC142:AF142" si="22">((1-AC139)*AC141)/AC139</f>
        <v>1.9990727828078991</v>
      </c>
      <c r="AD142" s="16">
        <f t="shared" si="22"/>
        <v>3.997266877770739</v>
      </c>
      <c r="AE142" s="16">
        <f t="shared" si="22"/>
        <v>17.001775809910821</v>
      </c>
      <c r="AF142" s="16">
        <f t="shared" si="22"/>
        <v>30.003196286811775</v>
      </c>
      <c r="AG142" s="16">
        <f t="shared" si="4"/>
        <v>11.600742351460246</v>
      </c>
      <c r="AP142" s="22">
        <f t="shared" si="17"/>
        <v>-1.8016531807317993</v>
      </c>
    </row>
    <row r="143" spans="1:42">
      <c r="A143" s="18"/>
      <c r="B143" s="16" t="s">
        <v>53</v>
      </c>
      <c r="C143" s="16">
        <f>144-72</f>
        <v>72</v>
      </c>
      <c r="D143" s="16">
        <f>106-29</f>
        <v>77</v>
      </c>
      <c r="E143" s="16">
        <f>742-84</f>
        <v>658</v>
      </c>
      <c r="F143" s="16">
        <f>1288-169</f>
        <v>1119</v>
      </c>
      <c r="G143" s="16">
        <f>991-123</f>
        <v>868</v>
      </c>
      <c r="H143" s="16" t="s">
        <v>58</v>
      </c>
      <c r="I143" s="16">
        <f>C143-C142</f>
        <v>28.1736</v>
      </c>
      <c r="J143" s="16">
        <f>D143-D142</f>
        <v>61.737300000000005</v>
      </c>
      <c r="K143" s="16">
        <f>E143-E142</f>
        <v>512.08967793267595</v>
      </c>
      <c r="L143" s="16">
        <f>F143-F142</f>
        <v>-509.57289732360096</v>
      </c>
      <c r="M143" s="16">
        <f>G143-G142</f>
        <v>732.29012205683352</v>
      </c>
      <c r="N143" s="64" t="s">
        <v>13</v>
      </c>
      <c r="O143" s="26">
        <v>0.84730000000000005</v>
      </c>
      <c r="P143" s="26">
        <v>0.68859999999999999</v>
      </c>
      <c r="Q143" s="26">
        <v>0.88260000000000005</v>
      </c>
      <c r="R143" s="26">
        <v>0.78920000000000001</v>
      </c>
      <c r="S143" s="26">
        <v>0.75539999999999996</v>
      </c>
      <c r="T143" s="1">
        <f t="shared" si="1"/>
        <v>0.79261999999999999</v>
      </c>
      <c r="U143" s="43">
        <f>T143-T144</f>
        <v>-5.8379999999999987E-2</v>
      </c>
      <c r="V143" s="26">
        <v>0.79259999999999997</v>
      </c>
      <c r="W143" s="43">
        <f>V143-V144</f>
        <v>-5.8400000000000007E-2</v>
      </c>
      <c r="Z143" s="79"/>
      <c r="AA143" s="16" t="s">
        <v>53</v>
      </c>
      <c r="AB143" s="16">
        <f>144-72</f>
        <v>72</v>
      </c>
      <c r="AC143" s="16">
        <f>106-29</f>
        <v>77</v>
      </c>
      <c r="AD143" s="16">
        <f>742-84</f>
        <v>658</v>
      </c>
      <c r="AE143" s="16">
        <f>1288-169</f>
        <v>1119</v>
      </c>
      <c r="AF143" s="16">
        <f>991-123</f>
        <v>868</v>
      </c>
      <c r="AG143" s="16">
        <f t="shared" si="4"/>
        <v>558.79999999999995</v>
      </c>
      <c r="AI143" s="16" t="s">
        <v>58</v>
      </c>
      <c r="AJ143" s="16">
        <f>AB143-AB142</f>
        <v>66.997600000000006</v>
      </c>
      <c r="AK143" s="16">
        <f t="shared" ref="AK143" si="23">AC143-AC142</f>
        <v>75.0009272171921</v>
      </c>
      <c r="AL143" s="16">
        <f t="shared" ref="AL143" si="24">AD143-AD142</f>
        <v>654.0027331222293</v>
      </c>
      <c r="AM143" s="16">
        <f t="shared" ref="AM143" si="25">AE143-AE142</f>
        <v>1101.9982241900891</v>
      </c>
      <c r="AN143" s="16">
        <f t="shared" ref="AN143" si="26">AF143-AF142</f>
        <v>837.99680371318823</v>
      </c>
      <c r="AO143" s="16"/>
      <c r="AP143" s="22">
        <f t="shared" si="17"/>
        <v>0</v>
      </c>
    </row>
    <row r="144" spans="1:42" ht="16.5" thickBot="1">
      <c r="A144" s="18"/>
      <c r="B144" s="16" t="s">
        <v>54</v>
      </c>
      <c r="C144" s="16">
        <f>(1-C138)*C141/C138</f>
        <v>28.173599999999997</v>
      </c>
      <c r="D144" s="16">
        <f t="shared" ref="D144:G144" si="27">(1-D138)*D141/D138</f>
        <v>13.737299999999999</v>
      </c>
      <c r="E144" s="16">
        <f t="shared" si="27"/>
        <v>23.209199999999999</v>
      </c>
      <c r="F144" s="16">
        <f t="shared" si="27"/>
        <v>490.21280000000007</v>
      </c>
      <c r="G144" s="16">
        <f t="shared" si="27"/>
        <v>43.468200000000003</v>
      </c>
      <c r="N144" s="65" t="s">
        <v>50</v>
      </c>
      <c r="O144" s="61">
        <v>0.90290000000000004</v>
      </c>
      <c r="P144" s="61">
        <v>0.8306</v>
      </c>
      <c r="Q144" s="61">
        <v>0.90310000000000001</v>
      </c>
      <c r="R144" s="61">
        <v>0.81120000000000003</v>
      </c>
      <c r="S144" s="61">
        <v>0.80720000000000003</v>
      </c>
      <c r="T144" s="1">
        <f t="shared" si="1"/>
        <v>0.85099999999999998</v>
      </c>
      <c r="U144" s="43"/>
      <c r="V144" s="61">
        <v>0.85099999999999998</v>
      </c>
      <c r="W144" s="43"/>
      <c r="Z144" s="79"/>
      <c r="AA144" s="16" t="s">
        <v>54</v>
      </c>
      <c r="AB144" s="16">
        <f>(1-AB138)*AB141/AB138</f>
        <v>3.0023999999999975</v>
      </c>
      <c r="AC144" s="16">
        <f t="shared" ref="AC144:AF144" si="28">(1-AC138)*AC141/AC138</f>
        <v>7.0005999999999986</v>
      </c>
      <c r="AD144" s="16">
        <f t="shared" si="28"/>
        <v>12.0036</v>
      </c>
      <c r="AE144" s="16">
        <f t="shared" si="28"/>
        <v>36.994099999999996</v>
      </c>
      <c r="AF144" s="16">
        <f t="shared" si="28"/>
        <v>16.002299999999998</v>
      </c>
      <c r="AG144" s="16">
        <f t="shared" si="4"/>
        <v>15.000599999999997</v>
      </c>
      <c r="AP144" s="22">
        <f t="shared" si="17"/>
        <v>1.8600000000024153E-3</v>
      </c>
    </row>
    <row r="145" spans="1:42">
      <c r="A145" s="18"/>
      <c r="B145" s="16" t="s">
        <v>55</v>
      </c>
      <c r="C145" s="21">
        <v>4.9299999999999997E-2</v>
      </c>
      <c r="D145" s="21">
        <v>0.35610000000000003</v>
      </c>
      <c r="E145" s="21">
        <v>0.35489999999999999</v>
      </c>
      <c r="F145" s="21">
        <v>0.1888</v>
      </c>
      <c r="G145" s="21">
        <v>0.3891</v>
      </c>
      <c r="N145" s="64" t="s">
        <v>46</v>
      </c>
      <c r="O145" s="26">
        <v>0.72919999999999996</v>
      </c>
      <c r="P145" s="26">
        <v>0.71540000000000004</v>
      </c>
      <c r="Q145" s="26">
        <v>0.80410000000000004</v>
      </c>
      <c r="R145" s="26">
        <v>0.78169999999999995</v>
      </c>
      <c r="S145" s="26">
        <v>0.72030000000000005</v>
      </c>
      <c r="T145" s="1">
        <f t="shared" si="1"/>
        <v>0.75013999999999992</v>
      </c>
      <c r="U145" s="43">
        <f>T145-T150</f>
        <v>-0.16508000000000012</v>
      </c>
      <c r="V145" s="26">
        <v>0.75009999999999999</v>
      </c>
      <c r="W145" s="43">
        <f>V145-V150</f>
        <v>-0.16510000000000002</v>
      </c>
      <c r="Z145" s="79"/>
      <c r="AA145" s="16" t="s">
        <v>55</v>
      </c>
      <c r="AB145" s="16">
        <v>0.88919999999999999</v>
      </c>
      <c r="AC145" s="16">
        <v>0.78039999999999998</v>
      </c>
      <c r="AD145" s="16">
        <v>0.88929999999999998</v>
      </c>
      <c r="AE145" s="16">
        <v>0.80840000000000001</v>
      </c>
      <c r="AF145" s="16">
        <v>0.79800000000000004</v>
      </c>
      <c r="AG145" s="16">
        <f t="shared" si="4"/>
        <v>0.83306000000000002</v>
      </c>
      <c r="AP145" s="22">
        <f t="shared" si="17"/>
        <v>1.7939999999999956E-2</v>
      </c>
    </row>
    <row r="146" spans="1:42">
      <c r="A146" s="18"/>
      <c r="B146" s="16" t="s">
        <v>56</v>
      </c>
      <c r="C146" s="21">
        <v>0.52429999999999999</v>
      </c>
      <c r="D146" s="21">
        <v>0.68120000000000003</v>
      </c>
      <c r="E146" s="21">
        <v>0.75109999999999999</v>
      </c>
      <c r="F146" s="21">
        <v>0.53280000000000005</v>
      </c>
      <c r="G146" s="21">
        <v>0.74260000000000004</v>
      </c>
      <c r="N146" s="64" t="s">
        <v>11</v>
      </c>
      <c r="O146" s="26">
        <v>0.69440000000000002</v>
      </c>
      <c r="P146" s="26">
        <v>0.66769999999999996</v>
      </c>
      <c r="Q146" s="26">
        <v>0.51190000000000002</v>
      </c>
      <c r="R146" s="26">
        <v>0.71140000000000003</v>
      </c>
      <c r="S146" s="26">
        <v>0.7248</v>
      </c>
      <c r="T146" s="1">
        <f t="shared" si="1"/>
        <v>0.66203999999999996</v>
      </c>
      <c r="U146" s="43">
        <f>T146-T150</f>
        <v>-0.25318000000000007</v>
      </c>
      <c r="V146" s="26">
        <v>0.66200000000000003</v>
      </c>
      <c r="W146" s="43">
        <f>V146-V150</f>
        <v>-0.25319999999999998</v>
      </c>
      <c r="Z146" s="79"/>
      <c r="AA146" s="16" t="s">
        <v>56</v>
      </c>
      <c r="AB146" s="16">
        <v>0.94440000000000002</v>
      </c>
      <c r="AC146" s="16">
        <v>0.86629999999999996</v>
      </c>
      <c r="AD146" s="16">
        <v>0.92549999999999999</v>
      </c>
      <c r="AE146" s="16">
        <v>0.88290000000000002</v>
      </c>
      <c r="AF146" s="16">
        <v>0.91769999999999996</v>
      </c>
      <c r="AG146" s="16">
        <f t="shared" si="4"/>
        <v>0.90736000000000006</v>
      </c>
      <c r="AP146" s="22">
        <f t="shared" si="17"/>
        <v>7.8599999999999781E-3</v>
      </c>
    </row>
    <row r="147" spans="1:42">
      <c r="A147" s="18"/>
      <c r="B147" s="16" t="s">
        <v>57</v>
      </c>
      <c r="C147" s="21">
        <v>0.52080000000000004</v>
      </c>
      <c r="D147" s="21">
        <v>0.76249999999999996</v>
      </c>
      <c r="E147" s="21">
        <v>0.77229999999999999</v>
      </c>
      <c r="F147" s="21">
        <v>0.87329999999999997</v>
      </c>
      <c r="G147" s="21">
        <v>0.81469999999999998</v>
      </c>
      <c r="N147" s="64" t="s">
        <v>10</v>
      </c>
      <c r="O147" s="26">
        <v>0.52429999999999999</v>
      </c>
      <c r="P147" s="26">
        <v>0.68120000000000003</v>
      </c>
      <c r="Q147" s="26">
        <v>0.75109999999999999</v>
      </c>
      <c r="R147" s="26">
        <v>0.53280000000000005</v>
      </c>
      <c r="S147" s="26">
        <v>0.74260000000000004</v>
      </c>
      <c r="T147" s="1">
        <f t="shared" si="1"/>
        <v>0.64639999999999997</v>
      </c>
      <c r="U147" s="43">
        <f>T147-T150</f>
        <v>-0.26882000000000006</v>
      </c>
      <c r="V147" s="26">
        <v>0.64639999999999997</v>
      </c>
      <c r="W147" s="43">
        <f>V147-V150</f>
        <v>-0.26880000000000004</v>
      </c>
      <c r="Z147" s="80"/>
      <c r="AA147" s="16" t="s">
        <v>57</v>
      </c>
      <c r="AB147" s="16">
        <v>0.94440000000000002</v>
      </c>
      <c r="AC147" s="16">
        <v>0.91510000000000002</v>
      </c>
      <c r="AD147" s="16">
        <v>0.97840000000000005</v>
      </c>
      <c r="AE147" s="16">
        <v>0.95799999999999996</v>
      </c>
      <c r="AF147" s="16">
        <v>0.9536</v>
      </c>
      <c r="AG147" s="16">
        <f t="shared" si="4"/>
        <v>0.94990000000000008</v>
      </c>
      <c r="AP147" s="22">
        <f t="shared" si="17"/>
        <v>6.4799999999999303E-3</v>
      </c>
    </row>
    <row r="148" spans="1:42">
      <c r="A148" s="82" t="s">
        <v>49</v>
      </c>
      <c r="B148" s="16" t="s">
        <v>1</v>
      </c>
      <c r="C148" s="16">
        <v>0.89510000000000001</v>
      </c>
      <c r="D148" s="16">
        <f>(2*D149*D150)/(D149+D150)</f>
        <v>0.73011614834977889</v>
      </c>
      <c r="E148" s="16">
        <v>0.87339999999999995</v>
      </c>
      <c r="F148" s="16">
        <f>2*F149*F150/(F149+F150)</f>
        <v>0.79845209779278448</v>
      </c>
      <c r="G148" s="16">
        <f>(2*G149*G150)/(G149+G150)</f>
        <v>0.76912682330222071</v>
      </c>
      <c r="N148" s="64" t="s">
        <v>49</v>
      </c>
      <c r="O148" s="27">
        <v>0.89580000000000004</v>
      </c>
      <c r="P148" s="27">
        <v>0.82509999999999994</v>
      </c>
      <c r="Q148" s="27">
        <v>0.90690000000000004</v>
      </c>
      <c r="R148" s="27">
        <v>0.79410000000000003</v>
      </c>
      <c r="S148" s="27">
        <v>0.90090000000000003</v>
      </c>
      <c r="T148" s="1">
        <f t="shared" si="1"/>
        <v>0.86456</v>
      </c>
      <c r="U148" s="43">
        <f>T148-T150</f>
        <v>-5.0660000000000038E-2</v>
      </c>
      <c r="V148" s="26">
        <v>0.86460000000000004</v>
      </c>
      <c r="W148" s="43">
        <f>V148-V150</f>
        <v>-5.0599999999999978E-2</v>
      </c>
      <c r="Z148" s="78" t="s">
        <v>61</v>
      </c>
      <c r="AA148" s="24" t="s">
        <v>1</v>
      </c>
      <c r="AB148" s="24">
        <v>0.94369999999999998</v>
      </c>
      <c r="AC148" s="24">
        <v>0.82540000000000002</v>
      </c>
      <c r="AD148" s="24">
        <v>0.90449999999999997</v>
      </c>
      <c r="AE148" s="24">
        <v>0.77490000000000003</v>
      </c>
      <c r="AF148" s="24">
        <v>0.79549999999999998</v>
      </c>
      <c r="AG148" s="16">
        <f t="shared" si="4"/>
        <v>0.8488</v>
      </c>
      <c r="AP148" s="22">
        <f t="shared" ref="AP148:AP158" si="29">AG159-AG148</f>
        <v>3.0980000000000008E-2</v>
      </c>
    </row>
    <row r="149" spans="1:42">
      <c r="A149" s="82"/>
      <c r="B149" s="16" t="s">
        <v>2</v>
      </c>
      <c r="C149" s="16">
        <v>0.88890000000000002</v>
      </c>
      <c r="D149" s="16">
        <v>0.79310000000000003</v>
      </c>
      <c r="E149" s="16">
        <v>0.82140000000000002</v>
      </c>
      <c r="F149" s="16">
        <v>0.76870000000000005</v>
      </c>
      <c r="G149" s="16">
        <v>0.85370000000000001</v>
      </c>
      <c r="N149" s="64" t="s">
        <v>13</v>
      </c>
      <c r="O149" s="26">
        <v>0.92359999999999998</v>
      </c>
      <c r="P149" s="26">
        <v>0.87039999999999995</v>
      </c>
      <c r="Q149" s="26">
        <v>0.92479999999999996</v>
      </c>
      <c r="R149" s="26">
        <v>0.84599999999999997</v>
      </c>
      <c r="S149" s="26">
        <v>0.87239999999999995</v>
      </c>
      <c r="T149" s="1">
        <f t="shared" si="1"/>
        <v>0.88744000000000001</v>
      </c>
      <c r="U149" s="43">
        <f>T149-T150</f>
        <v>-2.7780000000000027E-2</v>
      </c>
      <c r="V149" s="26">
        <v>0.88739999999999997</v>
      </c>
      <c r="W149" s="43">
        <f>V149-V150</f>
        <v>-2.7800000000000047E-2</v>
      </c>
      <c r="Z149" s="79"/>
      <c r="AA149" s="16" t="s">
        <v>2</v>
      </c>
      <c r="AB149" s="16">
        <v>0.93059999999999998</v>
      </c>
      <c r="AC149" s="16">
        <v>0.89659999999999995</v>
      </c>
      <c r="AD149" s="16">
        <v>0.84519999999999995</v>
      </c>
      <c r="AE149" s="16">
        <v>0.80469999999999997</v>
      </c>
      <c r="AF149" s="16">
        <v>0.86990000000000001</v>
      </c>
      <c r="AG149" s="16">
        <f t="shared" si="4"/>
        <v>0.86939999999999995</v>
      </c>
      <c r="AP149" s="22">
        <f t="shared" si="29"/>
        <v>-1.3419999999999987E-2</v>
      </c>
    </row>
    <row r="150" spans="1:42" ht="16.5" thickBot="1">
      <c r="A150" s="82"/>
      <c r="B150" s="16" t="s">
        <v>47</v>
      </c>
      <c r="C150" s="16">
        <v>0.90139999999999998</v>
      </c>
      <c r="D150" s="16">
        <v>0.6764</v>
      </c>
      <c r="E150" s="16">
        <v>0.93240000000000001</v>
      </c>
      <c r="F150" s="16">
        <v>0.8306</v>
      </c>
      <c r="G150" s="16">
        <v>0.69979999999999998</v>
      </c>
      <c r="N150" s="65" t="s">
        <v>50</v>
      </c>
      <c r="O150" s="61">
        <v>0.95140000000000002</v>
      </c>
      <c r="P150" s="61">
        <v>0.90080000000000005</v>
      </c>
      <c r="Q150" s="61">
        <v>0.92710000000000004</v>
      </c>
      <c r="R150" s="61">
        <v>0.88090000000000002</v>
      </c>
      <c r="S150" s="61">
        <v>0.91590000000000005</v>
      </c>
      <c r="T150" s="1">
        <f t="shared" si="1"/>
        <v>0.91522000000000003</v>
      </c>
      <c r="U150" s="43"/>
      <c r="V150" s="61">
        <v>0.91520000000000001</v>
      </c>
      <c r="W150" s="43"/>
      <c r="Z150" s="79"/>
      <c r="AA150" s="16" t="s">
        <v>47</v>
      </c>
      <c r="AB150" s="16">
        <v>0.95709999999999995</v>
      </c>
      <c r="AC150" s="16">
        <v>0.76470000000000005</v>
      </c>
      <c r="AD150" s="16">
        <v>0.97260000000000002</v>
      </c>
      <c r="AE150" s="16">
        <v>0.74729999999999996</v>
      </c>
      <c r="AF150" s="16">
        <v>0.7329</v>
      </c>
      <c r="AG150" s="16">
        <f t="shared" si="4"/>
        <v>0.83492</v>
      </c>
      <c r="AP150" s="22">
        <f t="shared" si="29"/>
        <v>7.3400000000000021E-2</v>
      </c>
    </row>
    <row r="151" spans="1:42">
      <c r="A151" s="82"/>
      <c r="B151" s="16" t="s">
        <v>48</v>
      </c>
      <c r="C151" s="16">
        <v>0.90280000000000005</v>
      </c>
      <c r="D151" s="16">
        <f>1-D153/D154</f>
        <v>0.85709739798935547</v>
      </c>
      <c r="E151" s="16">
        <v>0.99239999999999995</v>
      </c>
      <c r="F151" s="16">
        <f>1-F153/F154</f>
        <v>0.81954698742707177</v>
      </c>
      <c r="G151" s="16">
        <f>1-G153/G154</f>
        <v>0.94810477282515215</v>
      </c>
      <c r="N151" s="64" t="s">
        <v>46</v>
      </c>
      <c r="O151" s="26">
        <v>0.72919999999999996</v>
      </c>
      <c r="P151" s="26">
        <v>0.82079999999999997</v>
      </c>
      <c r="Q151" s="26">
        <v>0.93799999999999994</v>
      </c>
      <c r="R151" s="26">
        <v>0.92620000000000002</v>
      </c>
      <c r="S151" s="26">
        <v>0.90110000000000001</v>
      </c>
      <c r="T151" s="1">
        <f t="shared" si="1"/>
        <v>0.86305999999999994</v>
      </c>
      <c r="U151" s="43">
        <f>T151-T156</f>
        <v>-9.332000000000007E-2</v>
      </c>
      <c r="V151" s="26">
        <v>0.86309999999999998</v>
      </c>
      <c r="W151" s="43">
        <f>V151-V156</f>
        <v>-9.330000000000005E-2</v>
      </c>
      <c r="Z151" s="79"/>
      <c r="AA151" s="16" t="s">
        <v>48</v>
      </c>
      <c r="AB151" s="16">
        <f>AJ154/AB154</f>
        <v>0.95828780691672755</v>
      </c>
      <c r="AC151" s="16">
        <f>1-0.1039</f>
        <v>0.89610000000000001</v>
      </c>
      <c r="AD151" s="16">
        <f>1-0.003</f>
        <v>0.997</v>
      </c>
      <c r="AE151" s="16">
        <f>1-0.0411</f>
        <v>0.95889999999999997</v>
      </c>
      <c r="AF151" s="16">
        <f>1-0.0449</f>
        <v>0.95509999999999995</v>
      </c>
      <c r="AG151" s="16">
        <f t="shared" si="4"/>
        <v>0.95307756138334554</v>
      </c>
      <c r="AP151" s="22">
        <f t="shared" si="29"/>
        <v>2.1322438616654393E-2</v>
      </c>
    </row>
    <row r="152" spans="1:42">
      <c r="A152" s="18"/>
      <c r="B152" s="16" t="s">
        <v>51</v>
      </c>
      <c r="C152" s="16">
        <f>72*C149</f>
        <v>64.000799999999998</v>
      </c>
      <c r="D152" s="16">
        <f>29*D149</f>
        <v>22.9999</v>
      </c>
      <c r="E152" s="16">
        <f>84*E149</f>
        <v>68.997600000000006</v>
      </c>
      <c r="F152" s="16">
        <f>1288*F149</f>
        <v>990.08560000000011</v>
      </c>
      <c r="G152" s="16">
        <f>123*G149</f>
        <v>105.0051</v>
      </c>
      <c r="N152" s="64" t="s">
        <v>11</v>
      </c>
      <c r="O152" s="26">
        <v>0.69440000000000002</v>
      </c>
      <c r="P152" s="26">
        <v>0.73580000000000001</v>
      </c>
      <c r="Q152" s="26">
        <v>0.88949999999999996</v>
      </c>
      <c r="R152" s="26">
        <v>0.77859999999999996</v>
      </c>
      <c r="S152" s="26">
        <v>0.92130000000000001</v>
      </c>
      <c r="T152" s="1">
        <f t="shared" si="1"/>
        <v>0.80392000000000008</v>
      </c>
      <c r="U152" s="43">
        <f>T152-T156</f>
        <v>-0.15245999999999993</v>
      </c>
      <c r="V152" s="26">
        <v>0.80389999999999995</v>
      </c>
      <c r="W152" s="43">
        <f>V152-V156</f>
        <v>-0.15250000000000008</v>
      </c>
      <c r="Z152" s="79"/>
      <c r="AA152" s="16" t="s">
        <v>51</v>
      </c>
      <c r="AB152" s="16">
        <f>72*AB149</f>
        <v>67.003199999999993</v>
      </c>
      <c r="AC152" s="16">
        <f>29*AC149</f>
        <v>26.0014</v>
      </c>
      <c r="AD152" s="16">
        <f>84*AD149</f>
        <v>70.996799999999993</v>
      </c>
      <c r="AE152" s="19">
        <f>169*AE149</f>
        <v>135.99429999999998</v>
      </c>
      <c r="AF152" s="16">
        <f>123*AF149</f>
        <v>106.99769999999999</v>
      </c>
      <c r="AG152" s="16">
        <f t="shared" si="4"/>
        <v>81.398679999999985</v>
      </c>
      <c r="AP152" s="22">
        <f t="shared" si="29"/>
        <v>-1.0011399999999782</v>
      </c>
    </row>
    <row r="153" spans="1:42">
      <c r="A153" s="18"/>
      <c r="B153" s="16" t="s">
        <v>52</v>
      </c>
      <c r="C153" s="16">
        <f>((1-C150)*C152)/C150</f>
        <v>7.0007531395606852</v>
      </c>
      <c r="D153" s="16">
        <f t="shared" ref="D153" si="30">((1-D150)*D152)/D150</f>
        <v>11.003500354819634</v>
      </c>
      <c r="E153" s="16">
        <f t="shared" ref="E153" si="31">((1-E150)*E152)/E150</f>
        <v>5.0023999999999997</v>
      </c>
      <c r="F153" s="16">
        <f t="shared" ref="F153" si="32">((1-F150)*F152)/F150</f>
        <v>201.92692106910667</v>
      </c>
      <c r="G153" s="16">
        <f t="shared" ref="G153" si="33">((1-G150)*G152)/G150</f>
        <v>45.045057187767938</v>
      </c>
      <c r="N153" s="64" t="s">
        <v>10</v>
      </c>
      <c r="O153" s="26">
        <v>0.52080000000000004</v>
      </c>
      <c r="P153" s="26">
        <v>0.76249999999999996</v>
      </c>
      <c r="Q153" s="26">
        <v>0.77229999999999999</v>
      </c>
      <c r="R153" s="26">
        <v>0.87329999999999997</v>
      </c>
      <c r="S153" s="26">
        <v>0.81469999999999998</v>
      </c>
      <c r="T153" s="1">
        <f t="shared" si="1"/>
        <v>0.74871999999999994</v>
      </c>
      <c r="U153" s="43">
        <f>T153-T156</f>
        <v>-0.20766000000000007</v>
      </c>
      <c r="V153" s="26">
        <v>0.74870000000000003</v>
      </c>
      <c r="W153" s="43">
        <f>V153-V156</f>
        <v>-0.2077</v>
      </c>
      <c r="Z153" s="79"/>
      <c r="AA153" s="16" t="s">
        <v>52</v>
      </c>
      <c r="AB153" s="16">
        <f>((1-AB150)*AB152)/AB150</f>
        <v>3.0032779019956153</v>
      </c>
      <c r="AC153" s="16">
        <f t="shared" ref="AC153:AF153" si="34">((1-AC150)*AC152)/AC150</f>
        <v>8.0006923237871046</v>
      </c>
      <c r="AD153" s="16">
        <f t="shared" si="34"/>
        <v>2.0001154842689681</v>
      </c>
      <c r="AE153" s="16">
        <f t="shared" si="34"/>
        <v>45.986564445336548</v>
      </c>
      <c r="AF153" s="16">
        <f t="shared" si="34"/>
        <v>38.994522677036429</v>
      </c>
      <c r="AG153" s="16">
        <f t="shared" si="4"/>
        <v>19.597034566484933</v>
      </c>
      <c r="AP153" s="22">
        <f t="shared" si="29"/>
        <v>-9.7979453957564857</v>
      </c>
    </row>
    <row r="154" spans="1:42">
      <c r="A154" s="18"/>
      <c r="B154" s="16" t="s">
        <v>53</v>
      </c>
      <c r="C154" s="16">
        <f>144-72</f>
        <v>72</v>
      </c>
      <c r="D154" s="16">
        <f>106-29</f>
        <v>77</v>
      </c>
      <c r="E154" s="16">
        <f>742-84</f>
        <v>658</v>
      </c>
      <c r="F154" s="16">
        <f>1288-169</f>
        <v>1119</v>
      </c>
      <c r="G154" s="16">
        <f>991-123</f>
        <v>868</v>
      </c>
      <c r="H154" s="16" t="s">
        <v>58</v>
      </c>
      <c r="I154" s="16">
        <f>C154-C153</f>
        <v>64.999246860439314</v>
      </c>
      <c r="J154" s="16">
        <f>D154-D153</f>
        <v>65.996499645180364</v>
      </c>
      <c r="K154" s="16">
        <f>E154-E153</f>
        <v>652.99760000000003</v>
      </c>
      <c r="L154" s="16">
        <f>F154-F153</f>
        <v>917.0730789308933</v>
      </c>
      <c r="M154" s="16">
        <f>G154-G153</f>
        <v>822.95494281223205</v>
      </c>
      <c r="N154" s="64" t="s">
        <v>49</v>
      </c>
      <c r="O154" s="27">
        <v>0.89580000000000004</v>
      </c>
      <c r="P154" s="27">
        <v>0.83950000000000002</v>
      </c>
      <c r="Q154" s="27">
        <v>0.97299999999999998</v>
      </c>
      <c r="R154" s="27">
        <v>0.7923</v>
      </c>
      <c r="S154" s="27">
        <v>0.93630000000000002</v>
      </c>
      <c r="T154" s="1">
        <f t="shared" si="1"/>
        <v>0.88737999999999995</v>
      </c>
      <c r="U154" s="43">
        <f>T154-T156</f>
        <v>-6.9000000000000061E-2</v>
      </c>
      <c r="V154" s="26">
        <v>0.88739999999999997</v>
      </c>
      <c r="W154" s="43">
        <f>V154-V156</f>
        <v>-6.9000000000000061E-2</v>
      </c>
      <c r="Z154" s="79"/>
      <c r="AA154" s="16" t="s">
        <v>53</v>
      </c>
      <c r="AB154" s="16">
        <f>144-72</f>
        <v>72</v>
      </c>
      <c r="AC154" s="16">
        <f>106-29</f>
        <v>77</v>
      </c>
      <c r="AD154" s="16">
        <f>742-84</f>
        <v>658</v>
      </c>
      <c r="AE154" s="16">
        <f>1288-169</f>
        <v>1119</v>
      </c>
      <c r="AF154" s="16">
        <f>991-123</f>
        <v>868</v>
      </c>
      <c r="AG154" s="16">
        <f t="shared" si="4"/>
        <v>558.79999999999995</v>
      </c>
      <c r="AI154" s="16" t="s">
        <v>58</v>
      </c>
      <c r="AJ154" s="16">
        <f>AB154-AB153</f>
        <v>68.996722098004383</v>
      </c>
      <c r="AK154" s="16">
        <f t="shared" ref="AK154" si="35">AC154-AC153</f>
        <v>68.999307676212894</v>
      </c>
      <c r="AL154" s="16">
        <f t="shared" ref="AL154" si="36">AD154-AD153</f>
        <v>655.99988451573108</v>
      </c>
      <c r="AM154" s="16">
        <f t="shared" ref="AM154" si="37">AE154-AE153</f>
        <v>1073.0134355546634</v>
      </c>
      <c r="AN154" s="16">
        <f t="shared" ref="AN154" si="38">AF154-AF153</f>
        <v>829.00547732296354</v>
      </c>
      <c r="AO154" s="16"/>
      <c r="AP154" s="22">
        <f t="shared" si="29"/>
        <v>0</v>
      </c>
    </row>
    <row r="155" spans="1:42">
      <c r="A155" s="18"/>
      <c r="B155" s="16" t="s">
        <v>54</v>
      </c>
      <c r="C155" s="16">
        <f>(1-C149)*C152/C149</f>
        <v>7.9991999999999983</v>
      </c>
      <c r="D155" s="16">
        <f t="shared" ref="D155:G155" si="39">(1-D149)*D152/D149</f>
        <v>6.0000999999999998</v>
      </c>
      <c r="E155" s="16">
        <f t="shared" si="39"/>
        <v>15.0024</v>
      </c>
      <c r="F155" s="16">
        <f t="shared" si="39"/>
        <v>297.91439999999994</v>
      </c>
      <c r="G155" s="16">
        <f t="shared" si="39"/>
        <v>17.994899999999998</v>
      </c>
      <c r="N155" s="64" t="s">
        <v>13</v>
      </c>
      <c r="O155" s="26">
        <v>0.92359999999999998</v>
      </c>
      <c r="P155" s="26">
        <v>0.85850000000000004</v>
      </c>
      <c r="Q155" s="26">
        <v>0.97709999999999997</v>
      </c>
      <c r="R155" s="26">
        <v>0.95489999999999997</v>
      </c>
      <c r="S155" s="26">
        <v>0.94750000000000001</v>
      </c>
      <c r="T155" s="1">
        <f t="shared" si="1"/>
        <v>0.93232000000000004</v>
      </c>
      <c r="U155" s="43">
        <f>T155-T156</f>
        <v>-2.405999999999997E-2</v>
      </c>
      <c r="V155" s="26">
        <v>0.93230000000000002</v>
      </c>
      <c r="W155" s="43">
        <f>V155-V156</f>
        <v>-2.410000000000001E-2</v>
      </c>
      <c r="Z155" s="79"/>
      <c r="AA155" s="16" t="s">
        <v>54</v>
      </c>
      <c r="AB155" s="16">
        <f>(1-AB149)*AB152/AB149</f>
        <v>4.9968000000000004</v>
      </c>
      <c r="AC155" s="16">
        <f t="shared" ref="AC155:AF155" si="40">(1-AC149)*AC152/AC149</f>
        <v>2.9986000000000019</v>
      </c>
      <c r="AD155" s="16">
        <f t="shared" si="40"/>
        <v>13.003200000000005</v>
      </c>
      <c r="AE155" s="16">
        <f t="shared" si="40"/>
        <v>33.005700000000004</v>
      </c>
      <c r="AF155" s="16">
        <f t="shared" si="40"/>
        <v>16.002299999999998</v>
      </c>
      <c r="AG155" s="16">
        <f t="shared" si="4"/>
        <v>14.001320000000003</v>
      </c>
      <c r="AP155" s="22">
        <f t="shared" si="29"/>
        <v>1.0011399999999959</v>
      </c>
    </row>
    <row r="156" spans="1:42" ht="16.5" thickBot="1">
      <c r="A156" s="18"/>
      <c r="B156" s="16" t="s">
        <v>55</v>
      </c>
      <c r="C156" s="20">
        <f>(C152*I154-C153*C155)/(POWER(((C152+C153)*(C152+C155)*(I154+C153)*(I154+C155)),0.5))</f>
        <v>0.79174344828649201</v>
      </c>
      <c r="D156" s="20">
        <f>(D152*J154-D153*D155)/(POWER(((D152+D153)*(D152+D155)*(J154+D153)*(J154+D155)),0.5))</f>
        <v>0.62097257698810959</v>
      </c>
      <c r="E156" s="20">
        <f>(E152*K154-E153*E155)/(POWER(((E152+E153)*(E152+E155)*(K154+E153)*(K154+E155)),0.5))</f>
        <v>0.86052776332236514</v>
      </c>
      <c r="F156" s="20">
        <f>(F152*L154-F153*F155)/(POWER(((F152+F153)*(F152+F155)*(L154+F153)*(L154+F155)),0.5))</f>
        <v>0.58682198575341249</v>
      </c>
      <c r="G156" s="20">
        <f>(G152*M154-G153*G155)/(POWER(((G152+G153)*(G152+G155)*(M154+G153)*(M154+G155)),0.5))</f>
        <v>0.73752675755717045</v>
      </c>
      <c r="N156" s="65" t="s">
        <v>50</v>
      </c>
      <c r="O156" s="61">
        <v>0.95140000000000002</v>
      </c>
      <c r="P156" s="61">
        <v>0.93400000000000005</v>
      </c>
      <c r="Q156" s="61">
        <v>0.98109999999999997</v>
      </c>
      <c r="R156" s="61">
        <v>0.95879999999999999</v>
      </c>
      <c r="S156" s="61">
        <v>0.95660000000000001</v>
      </c>
      <c r="T156" s="1">
        <f t="shared" si="1"/>
        <v>0.95638000000000001</v>
      </c>
      <c r="U156" s="43"/>
      <c r="V156" s="61">
        <v>0.95640000000000003</v>
      </c>
      <c r="W156" s="43"/>
      <c r="Z156" s="79"/>
      <c r="AA156" s="16" t="s">
        <v>55</v>
      </c>
      <c r="AB156" s="16">
        <f t="shared" ref="AB156" si="41">(AB152*AJ154-AB153*AB155)/(POWER(((AB152+AB153)*(AB152+AB155)*(AJ154+AB153)*(AJ154+AB155)),0.5))</f>
        <v>0.88922872014938392</v>
      </c>
      <c r="AC156" s="29">
        <v>0.75700000000000001</v>
      </c>
      <c r="AD156" s="16">
        <v>0.89600000000000002</v>
      </c>
      <c r="AE156" s="29">
        <v>0.74009999999999998</v>
      </c>
      <c r="AF156" s="29">
        <v>0.76749999999999996</v>
      </c>
      <c r="AG156" s="16">
        <f t="shared" si="4"/>
        <v>0.80996574402987664</v>
      </c>
      <c r="AP156" s="22">
        <f t="shared" si="29"/>
        <v>4.1034255970123334E-2</v>
      </c>
    </row>
    <row r="157" spans="1:42">
      <c r="A157" s="18"/>
      <c r="B157" s="16" t="s">
        <v>56</v>
      </c>
      <c r="C157" s="20">
        <f>(C149*(1-C151))/2+(C149+1)*C151/2</f>
        <v>0.89585000000000004</v>
      </c>
      <c r="D157" s="20">
        <f t="shared" ref="D157:G157" si="42">(D149*(1-D151))/2+(D149+1)*D151/2</f>
        <v>0.82509869899467769</v>
      </c>
      <c r="E157" s="20">
        <f t="shared" si="42"/>
        <v>0.90690000000000004</v>
      </c>
      <c r="F157" s="20">
        <f t="shared" si="42"/>
        <v>0.79412349371353586</v>
      </c>
      <c r="G157" s="20">
        <f t="shared" si="42"/>
        <v>0.90090238641257603</v>
      </c>
      <c r="Z157" s="79"/>
      <c r="AA157" s="16" t="s">
        <v>56</v>
      </c>
      <c r="AB157" s="16">
        <f t="shared" ref="AB157" si="43">(AB149*(1-AB151))/2+(AB149+1)*AB151/2</f>
        <v>0.94444390345836382</v>
      </c>
      <c r="AC157" s="29">
        <v>0.89629999999999999</v>
      </c>
      <c r="AD157" s="16">
        <v>0.92110000000000003</v>
      </c>
      <c r="AE157" s="29">
        <v>0.88180000000000003</v>
      </c>
      <c r="AF157" s="29">
        <v>0.91249999999999998</v>
      </c>
      <c r="AG157" s="16">
        <f t="shared" si="4"/>
        <v>0.91122878069167279</v>
      </c>
      <c r="AP157" s="22">
        <f t="shared" si="29"/>
        <v>3.9912193083272429E-3</v>
      </c>
    </row>
    <row r="158" spans="1:42">
      <c r="A158" s="18"/>
      <c r="B158" s="16" t="s">
        <v>57</v>
      </c>
      <c r="C158" s="20">
        <f>(C152+I154)/(C152+C153+C155+I154)</f>
        <v>0.89583365875305077</v>
      </c>
      <c r="D158" s="20">
        <f>(D152+J154)/(D152+D153+D155+J154)</f>
        <v>0.83958867589792796</v>
      </c>
      <c r="E158" s="20">
        <f>(E152+K154)/(E152+E153+E155+K154)</f>
        <v>0.97303935309973055</v>
      </c>
      <c r="F158" s="20">
        <f>(F152+L154)/(F152+F153+F155+L154)</f>
        <v>0.79233846237261885</v>
      </c>
      <c r="G158" s="20">
        <f>(G152+M154)/(G152+G153+G155+M154)</f>
        <v>0.93638753058751967</v>
      </c>
      <c r="O158" s="1" t="str">
        <f>IF(C126=O116,"YES","No")</f>
        <v>YES</v>
      </c>
      <c r="P158" s="1" t="str">
        <f t="shared" ref="P158:R158" si="44">IF(D126=P116,"YES","No")</f>
        <v>YES</v>
      </c>
      <c r="Q158" s="1" t="str">
        <f t="shared" si="44"/>
        <v>YES</v>
      </c>
      <c r="R158" s="1" t="str">
        <f t="shared" si="44"/>
        <v>YES</v>
      </c>
      <c r="S158" s="1" t="str">
        <f>IF(G126=S116,"YES","No")</f>
        <v>YES</v>
      </c>
      <c r="Z158" s="80"/>
      <c r="AA158" s="16" t="s">
        <v>57</v>
      </c>
      <c r="AB158" s="16">
        <f t="shared" ref="AB158" si="45">(AB152+AJ154)/(AB152+AB153+AB155+AJ154)</f>
        <v>0.94444390345836382</v>
      </c>
      <c r="AC158" s="29">
        <v>0.8962</v>
      </c>
      <c r="AD158" s="16">
        <v>0.9798</v>
      </c>
      <c r="AE158" s="29">
        <v>0.93859999999999999</v>
      </c>
      <c r="AF158" s="29">
        <v>0.94450000000000001</v>
      </c>
      <c r="AG158" s="16">
        <f t="shared" si="4"/>
        <v>0.94070878069167274</v>
      </c>
      <c r="AP158" s="22">
        <f t="shared" si="29"/>
        <v>1.5671219308327267E-2</v>
      </c>
    </row>
    <row r="159" spans="1:42">
      <c r="A159" s="82" t="s">
        <v>13</v>
      </c>
      <c r="B159" s="16" t="s">
        <v>1</v>
      </c>
      <c r="C159" s="16">
        <v>0.92310000000000003</v>
      </c>
      <c r="D159" s="16">
        <v>0.77610000000000001</v>
      </c>
      <c r="E159" s="16">
        <v>0.89439999999999997</v>
      </c>
      <c r="F159" s="16">
        <v>0.80269999999999997</v>
      </c>
      <c r="G159" s="16">
        <v>0.78510000000000002</v>
      </c>
      <c r="O159" s="1" t="str">
        <f>IF(C127=O122,"YES","No")</f>
        <v>YES</v>
      </c>
      <c r="P159" s="1" t="str">
        <f t="shared" ref="P159:S159" si="46">IF(D127=P122,"YES","No")</f>
        <v>YES</v>
      </c>
      <c r="Q159" s="1" t="str">
        <f t="shared" si="46"/>
        <v>YES</v>
      </c>
      <c r="R159" s="1" t="str">
        <f t="shared" si="46"/>
        <v>YES</v>
      </c>
      <c r="S159" s="1" t="str">
        <f t="shared" si="46"/>
        <v>YES</v>
      </c>
      <c r="Z159" s="78" t="s">
        <v>50</v>
      </c>
      <c r="AA159" s="24" t="s">
        <v>1</v>
      </c>
      <c r="AB159" s="24">
        <v>0.95169999999999999</v>
      </c>
      <c r="AC159" s="24">
        <v>0.87270000000000003</v>
      </c>
      <c r="AD159" s="24">
        <v>0.91139999999999999</v>
      </c>
      <c r="AE159" s="24">
        <v>0.83169999999999999</v>
      </c>
      <c r="AF159" s="24">
        <v>0.83140000000000003</v>
      </c>
      <c r="AG159" s="16">
        <f t="shared" si="4"/>
        <v>0.87978000000000001</v>
      </c>
    </row>
    <row r="160" spans="1:42">
      <c r="A160" s="82"/>
      <c r="B160" s="16" t="s">
        <v>2</v>
      </c>
      <c r="C160" s="16">
        <v>0.91669999999999996</v>
      </c>
      <c r="D160" s="16">
        <v>0.89659999999999995</v>
      </c>
      <c r="E160" s="16">
        <v>0.85709999999999997</v>
      </c>
      <c r="F160" s="16">
        <v>0.68820000000000003</v>
      </c>
      <c r="G160" s="16">
        <v>0.77239999999999998</v>
      </c>
      <c r="O160" s="1" t="str">
        <f>IF(C128=O128,"YES","No")</f>
        <v>YES</v>
      </c>
      <c r="P160" s="1" t="str">
        <f t="shared" ref="P160:S160" si="47">IF(D128=P128,"YES","No")</f>
        <v>YES</v>
      </c>
      <c r="Q160" s="1" t="str">
        <f t="shared" si="47"/>
        <v>YES</v>
      </c>
      <c r="R160" s="1" t="str">
        <f t="shared" si="47"/>
        <v>YES</v>
      </c>
      <c r="S160" s="1" t="str">
        <f t="shared" si="47"/>
        <v>YES</v>
      </c>
      <c r="Z160" s="79"/>
      <c r="AA160" s="16" t="s">
        <v>2</v>
      </c>
      <c r="AB160" s="16">
        <v>0.95830000000000004</v>
      </c>
      <c r="AC160" s="16">
        <v>0.8276</v>
      </c>
      <c r="AD160" s="16">
        <v>0.85709999999999997</v>
      </c>
      <c r="AE160" s="16">
        <v>0.77510000000000001</v>
      </c>
      <c r="AF160" s="16">
        <v>0.86180000000000001</v>
      </c>
      <c r="AG160" s="16">
        <f t="shared" si="4"/>
        <v>0.85597999999999996</v>
      </c>
    </row>
    <row r="161" spans="1:41">
      <c r="A161" s="82"/>
      <c r="B161" s="16" t="s">
        <v>47</v>
      </c>
      <c r="C161" s="16">
        <v>0.92959999999999998</v>
      </c>
      <c r="D161" s="16">
        <v>0.68420000000000003</v>
      </c>
      <c r="E161" s="16">
        <v>0.93510000000000004</v>
      </c>
      <c r="F161" s="16">
        <v>0.94399999999999995</v>
      </c>
      <c r="G161" s="16">
        <v>0.79830000000000001</v>
      </c>
      <c r="O161" s="1" t="str">
        <f>IF(C129=O134,"YES","No")</f>
        <v>YES</v>
      </c>
      <c r="P161" s="1" t="str">
        <f t="shared" ref="P161:S161" si="48">IF(D129=P134,"YES","No")</f>
        <v>YES</v>
      </c>
      <c r="Q161" s="1" t="str">
        <f t="shared" si="48"/>
        <v>YES</v>
      </c>
      <c r="R161" s="1" t="str">
        <f t="shared" si="48"/>
        <v>YES</v>
      </c>
      <c r="S161" s="1" t="str">
        <f t="shared" si="48"/>
        <v>YES</v>
      </c>
      <c r="Z161" s="79"/>
      <c r="AA161" s="16" t="s">
        <v>47</v>
      </c>
      <c r="AB161" s="16">
        <v>0.94520000000000004</v>
      </c>
      <c r="AC161" s="16">
        <v>0.92310000000000003</v>
      </c>
      <c r="AD161" s="16">
        <v>0.97299999999999998</v>
      </c>
      <c r="AE161" s="16">
        <v>0.89729999999999999</v>
      </c>
      <c r="AF161" s="16">
        <v>0.80300000000000005</v>
      </c>
      <c r="AG161" s="16">
        <f t="shared" si="4"/>
        <v>0.90832000000000002</v>
      </c>
    </row>
    <row r="162" spans="1:41">
      <c r="A162" s="82"/>
      <c r="B162" s="16" t="s">
        <v>48</v>
      </c>
      <c r="C162" s="16">
        <v>0.93059999999999998</v>
      </c>
      <c r="D162" s="16">
        <v>0.84420000000000006</v>
      </c>
      <c r="E162" s="16">
        <v>0.99239999999999995</v>
      </c>
      <c r="F162" s="16">
        <v>0.99370000000000003</v>
      </c>
      <c r="G162" s="16">
        <v>0.97240000000000004</v>
      </c>
      <c r="O162" s="1" t="str">
        <f>IF(C134=O140,"YES","No")</f>
        <v>YES</v>
      </c>
      <c r="P162" s="1" t="str">
        <f t="shared" ref="P162:S162" si="49">IF(D134=P140,"YES","No")</f>
        <v>YES</v>
      </c>
      <c r="Q162" s="1" t="str">
        <f t="shared" si="49"/>
        <v>YES</v>
      </c>
      <c r="R162" s="1" t="str">
        <f t="shared" si="49"/>
        <v>YES</v>
      </c>
      <c r="S162" s="1" t="str">
        <f t="shared" si="49"/>
        <v>YES</v>
      </c>
      <c r="Z162" s="79"/>
      <c r="AA162" s="16" t="s">
        <v>48</v>
      </c>
      <c r="AB162" s="16">
        <f>1-0.0556</f>
        <v>0.94440000000000002</v>
      </c>
      <c r="AC162" s="16">
        <f>1-0.026</f>
        <v>0.97399999999999998</v>
      </c>
      <c r="AD162" s="16">
        <f>1-0.003</f>
        <v>0.997</v>
      </c>
      <c r="AE162" s="16">
        <f>1-0.0134</f>
        <v>0.98660000000000003</v>
      </c>
      <c r="AF162" s="16">
        <f>1-0.03</f>
        <v>0.97</v>
      </c>
      <c r="AG162" s="16">
        <f t="shared" si="4"/>
        <v>0.97439999999999993</v>
      </c>
    </row>
    <row r="163" spans="1:41">
      <c r="A163" s="18"/>
      <c r="B163" s="16" t="s">
        <v>51</v>
      </c>
      <c r="C163" s="16">
        <f>72*C160</f>
        <v>66.002399999999994</v>
      </c>
      <c r="D163" s="23">
        <f>29*D160</f>
        <v>26.0014</v>
      </c>
      <c r="E163" s="16">
        <f>84*E160</f>
        <v>71.996399999999994</v>
      </c>
      <c r="F163" s="16">
        <f>1288*F160</f>
        <v>886.40160000000003</v>
      </c>
      <c r="G163" s="16">
        <f>123*G160</f>
        <v>95.005200000000002</v>
      </c>
      <c r="O163" s="1" t="str">
        <f>IF(C135=O146,"YES","No")</f>
        <v>YES</v>
      </c>
      <c r="P163" s="1" t="str">
        <f t="shared" ref="P163:S163" si="50">IF(D135=P146,"YES","No")</f>
        <v>YES</v>
      </c>
      <c r="Q163" s="1" t="str">
        <f t="shared" si="50"/>
        <v>YES</v>
      </c>
      <c r="R163" s="1" t="str">
        <f t="shared" si="50"/>
        <v>YES</v>
      </c>
      <c r="S163" s="1" t="str">
        <f t="shared" si="50"/>
        <v>YES</v>
      </c>
      <c r="Z163" s="79"/>
      <c r="AA163" s="16" t="s">
        <v>51</v>
      </c>
      <c r="AB163" s="16">
        <f>72*AB160</f>
        <v>68.997600000000006</v>
      </c>
      <c r="AC163" s="16">
        <f>29*AC160</f>
        <v>24.000399999999999</v>
      </c>
      <c r="AD163" s="16">
        <f>84*AD160</f>
        <v>71.996399999999994</v>
      </c>
      <c r="AE163" s="19">
        <f>169*AE160</f>
        <v>130.99190000000002</v>
      </c>
      <c r="AF163" s="16">
        <f>123*AF160</f>
        <v>106.0014</v>
      </c>
      <c r="AG163" s="16">
        <f t="shared" si="4"/>
        <v>80.397540000000006</v>
      </c>
    </row>
    <row r="164" spans="1:41">
      <c r="A164" s="18"/>
      <c r="B164" s="16" t="s">
        <v>52</v>
      </c>
      <c r="C164" s="16">
        <f>((1-C161)*C163)/C161</f>
        <v>4.9984605851979351</v>
      </c>
      <c r="D164" s="16">
        <f t="shared" ref="D164" si="51">((1-D161)*D163)/D161</f>
        <v>12.001230809704763</v>
      </c>
      <c r="E164" s="16">
        <f t="shared" ref="E164" si="52">((1-E161)*E163)/E161</f>
        <v>4.9968627526467717</v>
      </c>
      <c r="F164" s="16">
        <f t="shared" ref="F164" si="53">((1-F161)*F163)/F161</f>
        <v>52.583145762711915</v>
      </c>
      <c r="G164" s="16">
        <f t="shared" ref="G164" si="54">((1-G161)*G163)/G161</f>
        <v>24.004194964299135</v>
      </c>
      <c r="O164" s="1" t="str">
        <f>IF(C136=O152,"YES","No")</f>
        <v>YES</v>
      </c>
      <c r="P164" s="1" t="str">
        <f t="shared" ref="P164:S164" si="55">IF(D136=P152,"YES","No")</f>
        <v>YES</v>
      </c>
      <c r="Q164" s="1" t="str">
        <f t="shared" si="55"/>
        <v>YES</v>
      </c>
      <c r="R164" s="1" t="str">
        <f t="shared" si="55"/>
        <v>YES</v>
      </c>
      <c r="S164" s="1" t="str">
        <f t="shared" si="55"/>
        <v>YES</v>
      </c>
      <c r="Z164" s="79"/>
      <c r="AA164" s="17" t="s">
        <v>52</v>
      </c>
      <c r="AB164" s="16">
        <f>((1-AB161)*AB163)/AB161</f>
        <v>4.0002840457046096</v>
      </c>
      <c r="AC164" s="16">
        <f t="shared" ref="AC164:AF164" si="56">((1-AC161)*AC163)/AC161</f>
        <v>1.9993833387498636</v>
      </c>
      <c r="AD164" s="16">
        <f t="shared" si="56"/>
        <v>1.9978446043165485</v>
      </c>
      <c r="AE164" s="16">
        <f t="shared" si="56"/>
        <v>14.992609082803972</v>
      </c>
      <c r="AF164" s="16">
        <f t="shared" si="56"/>
        <v>26.005324782067241</v>
      </c>
      <c r="AG164" s="16">
        <f t="shared" si="4"/>
        <v>9.7990891707284469</v>
      </c>
    </row>
    <row r="165" spans="1:41">
      <c r="A165" s="18"/>
      <c r="B165" s="16" t="s">
        <v>53</v>
      </c>
      <c r="C165" s="16">
        <f>144-72</f>
        <v>72</v>
      </c>
      <c r="D165" s="16">
        <f>106-29</f>
        <v>77</v>
      </c>
      <c r="E165" s="16">
        <f>742-84</f>
        <v>658</v>
      </c>
      <c r="F165" s="16">
        <f>1288-169</f>
        <v>1119</v>
      </c>
      <c r="G165" s="16">
        <f>991-123</f>
        <v>868</v>
      </c>
      <c r="H165" s="16" t="s">
        <v>58</v>
      </c>
      <c r="I165" s="16">
        <f>C165-C164</f>
        <v>67.001539414802068</v>
      </c>
      <c r="J165" s="16">
        <f>D165-D164</f>
        <v>64.998769190295235</v>
      </c>
      <c r="K165" s="16">
        <f>E165-E164</f>
        <v>653.00313724735327</v>
      </c>
      <c r="L165" s="16">
        <f>F165-F164</f>
        <v>1066.4168542372881</v>
      </c>
      <c r="M165" s="16">
        <f>G165-G164</f>
        <v>843.99580503570087</v>
      </c>
      <c r="Z165" s="79"/>
      <c r="AA165" s="16" t="s">
        <v>53</v>
      </c>
      <c r="AB165" s="16">
        <f>144-72</f>
        <v>72</v>
      </c>
      <c r="AC165" s="16">
        <f>106-29</f>
        <v>77</v>
      </c>
      <c r="AD165" s="16">
        <f>742-84</f>
        <v>658</v>
      </c>
      <c r="AE165" s="16">
        <f>1288-169</f>
        <v>1119</v>
      </c>
      <c r="AF165" s="16">
        <f>991-123</f>
        <v>868</v>
      </c>
      <c r="AG165" s="16">
        <f t="shared" si="4"/>
        <v>558.79999999999995</v>
      </c>
      <c r="AI165" s="16" t="s">
        <v>58</v>
      </c>
      <c r="AJ165" s="23">
        <f>AB165-AB164</f>
        <v>67.999715954295397</v>
      </c>
      <c r="AK165" s="23">
        <f t="shared" ref="AK165" si="57">AC165-AC164</f>
        <v>75.000616661250135</v>
      </c>
      <c r="AL165" s="16">
        <f t="shared" ref="AL165" si="58">AD165-AD164</f>
        <v>656.00215539568342</v>
      </c>
      <c r="AM165" s="16">
        <f t="shared" ref="AM165" si="59">AE165-AE164</f>
        <v>1104.0073909171961</v>
      </c>
      <c r="AN165" s="16">
        <f t="shared" ref="AN165" si="60">AF165-AF164</f>
        <v>841.99467521793281</v>
      </c>
      <c r="AO165" s="16"/>
    </row>
    <row r="166" spans="1:41">
      <c r="A166" s="18"/>
      <c r="B166" s="16" t="s">
        <v>54</v>
      </c>
      <c r="C166" s="16">
        <f>(1-C160)*C163/C160</f>
        <v>5.9976000000000029</v>
      </c>
      <c r="D166" s="16">
        <f t="shared" ref="D166:G166" si="61">(1-D160)*D163/D160</f>
        <v>2.9986000000000019</v>
      </c>
      <c r="E166" s="16">
        <f t="shared" si="61"/>
        <v>12.0036</v>
      </c>
      <c r="F166" s="16">
        <f t="shared" si="61"/>
        <v>401.59839999999991</v>
      </c>
      <c r="G166" s="16">
        <f t="shared" si="61"/>
        <v>27.994800000000001</v>
      </c>
      <c r="Z166" s="79"/>
      <c r="AA166" s="16" t="s">
        <v>54</v>
      </c>
      <c r="AB166" s="16">
        <f>(1-AB160)*AB163/AB160</f>
        <v>3.0023999999999975</v>
      </c>
      <c r="AC166" s="16">
        <f t="shared" ref="AC166:AF166" si="62">(1-AC160)*AC163/AC160</f>
        <v>4.9996</v>
      </c>
      <c r="AD166" s="16">
        <f t="shared" si="62"/>
        <v>12.0036</v>
      </c>
      <c r="AE166" s="16">
        <f t="shared" si="62"/>
        <v>38.008100000000006</v>
      </c>
      <c r="AF166" s="16">
        <f t="shared" si="62"/>
        <v>16.9986</v>
      </c>
      <c r="AG166" s="16">
        <f t="shared" si="4"/>
        <v>15.002459999999999</v>
      </c>
    </row>
    <row r="167" spans="1:41">
      <c r="A167" s="18"/>
      <c r="B167" s="16" t="s">
        <v>55</v>
      </c>
      <c r="C167" s="16">
        <v>0.84730000000000005</v>
      </c>
      <c r="D167" s="16">
        <v>0.68859999999999999</v>
      </c>
      <c r="E167" s="16">
        <v>0.88260000000000005</v>
      </c>
      <c r="F167" s="16">
        <v>0.78920000000000001</v>
      </c>
      <c r="G167" s="16">
        <v>0.75539999999999996</v>
      </c>
      <c r="Z167" s="79"/>
      <c r="AA167" s="16" t="s">
        <v>55</v>
      </c>
      <c r="AB167" s="16">
        <v>0.90290000000000004</v>
      </c>
      <c r="AC167" s="16">
        <v>0.8306</v>
      </c>
      <c r="AD167" s="16">
        <v>0.90310000000000001</v>
      </c>
      <c r="AE167" s="16">
        <v>0.81120000000000003</v>
      </c>
      <c r="AF167" s="16">
        <v>0.80720000000000003</v>
      </c>
      <c r="AG167" s="16">
        <f t="shared" si="4"/>
        <v>0.85099999999999998</v>
      </c>
    </row>
    <row r="168" spans="1:41">
      <c r="A168" s="18"/>
      <c r="B168" s="16" t="s">
        <v>56</v>
      </c>
      <c r="C168" s="16">
        <v>0.92359999999999998</v>
      </c>
      <c r="D168" s="16">
        <v>0.87039999999999995</v>
      </c>
      <c r="E168" s="16">
        <v>0.92479999999999996</v>
      </c>
      <c r="F168" s="16">
        <v>0.84599999999999997</v>
      </c>
      <c r="G168" s="16">
        <v>0.87239999999999995</v>
      </c>
      <c r="Z168" s="79"/>
      <c r="AA168" s="16" t="s">
        <v>56</v>
      </c>
      <c r="AB168" s="16">
        <v>0.95140000000000002</v>
      </c>
      <c r="AC168" s="16">
        <v>0.90080000000000005</v>
      </c>
      <c r="AD168" s="16">
        <v>0.92710000000000004</v>
      </c>
      <c r="AE168" s="16">
        <v>0.88090000000000002</v>
      </c>
      <c r="AF168" s="16">
        <v>0.91590000000000005</v>
      </c>
      <c r="AG168" s="16">
        <f t="shared" si="4"/>
        <v>0.91522000000000003</v>
      </c>
    </row>
    <row r="169" spans="1:41">
      <c r="A169" s="18"/>
      <c r="B169" s="16" t="s">
        <v>57</v>
      </c>
      <c r="C169" s="16">
        <v>0.92359999999999998</v>
      </c>
      <c r="D169" s="16">
        <v>0.85850000000000004</v>
      </c>
      <c r="E169" s="16">
        <v>0.97709999999999997</v>
      </c>
      <c r="F169" s="16">
        <v>0.95489999999999997</v>
      </c>
      <c r="G169" s="16">
        <v>0.94750000000000001</v>
      </c>
      <c r="Z169" s="80"/>
      <c r="AA169" s="16" t="s">
        <v>57</v>
      </c>
      <c r="AB169" s="16">
        <v>0.95140000000000002</v>
      </c>
      <c r="AC169" s="16">
        <v>0.93400000000000005</v>
      </c>
      <c r="AD169" s="16">
        <v>0.98109999999999997</v>
      </c>
      <c r="AE169" s="16">
        <v>0.95879999999999999</v>
      </c>
      <c r="AF169" s="16">
        <v>0.95660000000000001</v>
      </c>
      <c r="AG169" s="16">
        <f t="shared" si="4"/>
        <v>0.95638000000000001</v>
      </c>
    </row>
    <row r="170" spans="1:41">
      <c r="A170" s="82" t="s">
        <v>50</v>
      </c>
      <c r="B170" s="16" t="s">
        <v>1</v>
      </c>
      <c r="C170" s="16">
        <v>0.95169999999999999</v>
      </c>
      <c r="D170" s="16">
        <v>0.87270000000000003</v>
      </c>
      <c r="E170" s="16">
        <v>0.91139999999999999</v>
      </c>
      <c r="F170" s="16">
        <v>0.83169999999999999</v>
      </c>
      <c r="G170" s="16">
        <v>0.83140000000000003</v>
      </c>
    </row>
    <row r="171" spans="1:41">
      <c r="A171" s="82"/>
      <c r="B171" s="16" t="s">
        <v>2</v>
      </c>
      <c r="C171" s="16">
        <v>0.95830000000000004</v>
      </c>
      <c r="D171" s="16">
        <v>0.8276</v>
      </c>
      <c r="E171" s="16">
        <v>0.85709999999999997</v>
      </c>
      <c r="F171" s="16">
        <v>0.77510000000000001</v>
      </c>
      <c r="G171" s="16">
        <v>0.86180000000000001</v>
      </c>
    </row>
    <row r="172" spans="1:41">
      <c r="A172" s="82"/>
      <c r="B172" s="16" t="s">
        <v>47</v>
      </c>
      <c r="C172" s="16">
        <v>0.94520000000000004</v>
      </c>
      <c r="D172" s="16">
        <v>0.92310000000000003</v>
      </c>
      <c r="E172" s="16">
        <v>0.97299999999999998</v>
      </c>
      <c r="F172" s="16">
        <v>0.89729999999999999</v>
      </c>
      <c r="G172" s="16">
        <v>0.80300000000000005</v>
      </c>
    </row>
    <row r="173" spans="1:41">
      <c r="A173" s="82"/>
      <c r="B173" s="16" t="s">
        <v>48</v>
      </c>
      <c r="C173" s="16">
        <f>1-0.0556</f>
        <v>0.94440000000000002</v>
      </c>
      <c r="D173" s="16">
        <f>1-0.026</f>
        <v>0.97399999999999998</v>
      </c>
      <c r="E173" s="16">
        <f>1-0.003</f>
        <v>0.997</v>
      </c>
      <c r="F173" s="16">
        <f>1-0.0134</f>
        <v>0.98660000000000003</v>
      </c>
      <c r="G173" s="16">
        <f>1-0.03</f>
        <v>0.97</v>
      </c>
    </row>
    <row r="174" spans="1:41">
      <c r="A174" s="18"/>
      <c r="B174" s="16" t="s">
        <v>51</v>
      </c>
      <c r="C174" s="23">
        <f>72*C171</f>
        <v>68.997600000000006</v>
      </c>
      <c r="D174" s="16">
        <f>29*D171</f>
        <v>24.000399999999999</v>
      </c>
      <c r="E174" s="23">
        <f>84*E171</f>
        <v>71.996399999999994</v>
      </c>
      <c r="F174" s="23">
        <f>1288*F171</f>
        <v>998.3288</v>
      </c>
      <c r="G174" s="23">
        <f>123*G171</f>
        <v>106.0014</v>
      </c>
    </row>
    <row r="175" spans="1:41">
      <c r="A175" s="18"/>
      <c r="B175" s="17" t="s">
        <v>52</v>
      </c>
      <c r="C175" s="23">
        <f>((1-C172)*C174)/C172</f>
        <v>4.0002840457046096</v>
      </c>
      <c r="D175" s="23">
        <f t="shared" ref="D175" si="63">((1-D172)*D174)/D172</f>
        <v>1.9993833387498636</v>
      </c>
      <c r="E175" s="23">
        <f t="shared" ref="E175" si="64">((1-E172)*E174)/E172</f>
        <v>1.9978446043165485</v>
      </c>
      <c r="F175" s="16">
        <f t="shared" ref="F175" si="65">((1-F172)*F174)/F172</f>
        <v>114.26319821687285</v>
      </c>
      <c r="G175" s="16">
        <f t="shared" ref="G175" si="66">((1-G172)*G174)/G172</f>
        <v>26.005324782067241</v>
      </c>
    </row>
    <row r="176" spans="1:41">
      <c r="A176" s="18"/>
      <c r="B176" s="16" t="s">
        <v>53</v>
      </c>
      <c r="C176" s="16">
        <f>144-72</f>
        <v>72</v>
      </c>
      <c r="D176" s="16">
        <f>106-29</f>
        <v>77</v>
      </c>
      <c r="E176" s="16">
        <f>742-84</f>
        <v>658</v>
      </c>
      <c r="F176" s="16">
        <f>1288-169</f>
        <v>1119</v>
      </c>
      <c r="G176" s="16">
        <f>991-123</f>
        <v>868</v>
      </c>
      <c r="H176" s="16" t="s">
        <v>58</v>
      </c>
      <c r="I176" s="23">
        <f>C176-C175</f>
        <v>67.999715954295397</v>
      </c>
      <c r="J176" s="23">
        <f>D176-D175</f>
        <v>75.000616661250135</v>
      </c>
      <c r="K176" s="16">
        <f>E176-E175</f>
        <v>656.00215539568342</v>
      </c>
      <c r="L176" s="16">
        <f>F176-F175</f>
        <v>1004.7368017831271</v>
      </c>
      <c r="M176" s="16">
        <f>G176-G175</f>
        <v>841.99467521793281</v>
      </c>
    </row>
    <row r="177" spans="1:50">
      <c r="A177" s="18"/>
      <c r="B177" s="16" t="s">
        <v>54</v>
      </c>
      <c r="C177" s="23">
        <f>(1-C171)*C174/C171</f>
        <v>3.0023999999999975</v>
      </c>
      <c r="D177" s="16">
        <f t="shared" ref="D177:G177" si="67">(1-D171)*D174/D171</f>
        <v>4.9996</v>
      </c>
      <c r="E177" s="23">
        <f t="shared" si="67"/>
        <v>12.0036</v>
      </c>
      <c r="F177" s="23">
        <f t="shared" si="67"/>
        <v>289.6712</v>
      </c>
      <c r="G177" s="23">
        <f t="shared" si="67"/>
        <v>16.9986</v>
      </c>
    </row>
    <row r="178" spans="1:50">
      <c r="A178" s="18"/>
      <c r="B178" s="16" t="s">
        <v>55</v>
      </c>
      <c r="C178" s="16">
        <v>0.90290000000000004</v>
      </c>
      <c r="D178" s="16">
        <v>0.8306</v>
      </c>
      <c r="E178" s="16">
        <v>0.90310000000000001</v>
      </c>
      <c r="F178" s="16">
        <v>0.81120000000000003</v>
      </c>
      <c r="G178" s="16">
        <v>0.80720000000000003</v>
      </c>
    </row>
    <row r="179" spans="1:50">
      <c r="A179" s="18"/>
      <c r="B179" s="16" t="s">
        <v>56</v>
      </c>
      <c r="C179" s="16">
        <v>0.95140000000000002</v>
      </c>
      <c r="D179" s="16">
        <v>0.90080000000000005</v>
      </c>
      <c r="E179" s="16">
        <v>0.92710000000000004</v>
      </c>
      <c r="F179" s="16">
        <v>0.88090000000000002</v>
      </c>
      <c r="G179" s="16">
        <v>0.91590000000000005</v>
      </c>
    </row>
    <row r="180" spans="1:50">
      <c r="A180" s="18"/>
      <c r="B180" s="16" t="s">
        <v>57</v>
      </c>
      <c r="C180" s="16">
        <v>0.95140000000000002</v>
      </c>
      <c r="D180" s="16">
        <v>0.93400000000000005</v>
      </c>
      <c r="E180" s="16">
        <v>0.98109999999999997</v>
      </c>
      <c r="F180" s="16">
        <v>0.95879999999999999</v>
      </c>
      <c r="G180" s="16">
        <v>0.95660000000000001</v>
      </c>
    </row>
    <row r="182" spans="1:50" ht="36" thickBot="1">
      <c r="A182" s="51" t="s">
        <v>78</v>
      </c>
      <c r="N182" s="74" t="s">
        <v>85</v>
      </c>
      <c r="O182" s="74"/>
      <c r="P182" s="74"/>
      <c r="Q182" s="74"/>
      <c r="R182" s="74"/>
      <c r="S182" s="74" t="s">
        <v>86</v>
      </c>
      <c r="T182" s="75"/>
      <c r="U182" s="72" t="s">
        <v>85</v>
      </c>
      <c r="V182" s="73"/>
      <c r="Z182" s="51" t="s">
        <v>103</v>
      </c>
    </row>
    <row r="183" spans="1:50" ht="16.5" thickBot="1">
      <c r="A183" s="16"/>
      <c r="B183" s="16"/>
      <c r="C183" s="25" t="s">
        <v>43</v>
      </c>
      <c r="D183" s="25" t="s">
        <v>62</v>
      </c>
      <c r="E183" s="25" t="s">
        <v>8</v>
      </c>
      <c r="F183" s="25" t="s">
        <v>24</v>
      </c>
      <c r="G183" s="25" t="s">
        <v>19</v>
      </c>
      <c r="I183" s="52"/>
      <c r="N183" s="57" t="s">
        <v>43</v>
      </c>
      <c r="O183" s="57" t="s">
        <v>44</v>
      </c>
      <c r="P183" s="57" t="s">
        <v>8</v>
      </c>
      <c r="Q183" s="57" t="s">
        <v>24</v>
      </c>
      <c r="R183" s="57" t="s">
        <v>19</v>
      </c>
      <c r="S183" s="57" t="s">
        <v>45</v>
      </c>
      <c r="T183" s="57" t="s">
        <v>83</v>
      </c>
      <c r="U183" s="57" t="s">
        <v>87</v>
      </c>
      <c r="V183" s="57" t="s">
        <v>83</v>
      </c>
      <c r="Z183" s="16"/>
      <c r="AA183" s="16"/>
      <c r="AB183" s="25" t="s">
        <v>43</v>
      </c>
      <c r="AC183" s="25" t="s">
        <v>62</v>
      </c>
      <c r="AD183" s="25" t="s">
        <v>8</v>
      </c>
      <c r="AE183" s="25" t="s">
        <v>24</v>
      </c>
      <c r="AF183" s="25" t="s">
        <v>19</v>
      </c>
      <c r="AG183" s="16" t="s">
        <v>45</v>
      </c>
      <c r="AH183" s="1" t="s">
        <v>76</v>
      </c>
      <c r="AP183" s="16"/>
      <c r="AQ183" s="16"/>
      <c r="AR183" s="25" t="s">
        <v>43</v>
      </c>
      <c r="AS183" s="45" t="s">
        <v>62</v>
      </c>
      <c r="AT183" s="45" t="s">
        <v>8</v>
      </c>
      <c r="AU183" s="25" t="s">
        <v>24</v>
      </c>
      <c r="AV183" s="25" t="s">
        <v>19</v>
      </c>
      <c r="AW183" s="16" t="s">
        <v>45</v>
      </c>
      <c r="AX183" s="1" t="s">
        <v>76</v>
      </c>
    </row>
    <row r="184" spans="1:50">
      <c r="A184" s="78" t="s">
        <v>67</v>
      </c>
      <c r="B184" s="24" t="s">
        <v>82</v>
      </c>
      <c r="C184" s="24">
        <v>0.93879999999999997</v>
      </c>
      <c r="D184" s="24">
        <v>0.8</v>
      </c>
      <c r="E184" s="55">
        <f>(2*E185*E186)/(E185+E186)</f>
        <v>0.85029940119760472</v>
      </c>
      <c r="F184" s="55">
        <f>(2*F185*F186)/(F185+F186)</f>
        <v>0.74712643678160917</v>
      </c>
      <c r="G184" s="53">
        <v>0.81299999999999994</v>
      </c>
      <c r="N184" s="33">
        <v>0.93879999999999997</v>
      </c>
      <c r="O184" s="33">
        <v>0.8</v>
      </c>
      <c r="P184" s="33">
        <v>0.85029999999999994</v>
      </c>
      <c r="Q184" s="33">
        <v>0.74709999999999999</v>
      </c>
      <c r="R184" s="33">
        <v>0.81299999999999994</v>
      </c>
      <c r="S184" s="58">
        <f>AVERAGE(N184:R184)</f>
        <v>0.82983999999999991</v>
      </c>
      <c r="T184" s="43"/>
      <c r="U184" s="33">
        <v>0.82979999999999998</v>
      </c>
      <c r="V184" s="43"/>
      <c r="Z184" s="82" t="s">
        <v>71</v>
      </c>
      <c r="AA184" s="24" t="s">
        <v>1</v>
      </c>
      <c r="AB184" s="24">
        <v>0.95240000000000002</v>
      </c>
      <c r="AC184" s="24">
        <v>0.80649999999999999</v>
      </c>
      <c r="AD184" s="24">
        <v>0.8982</v>
      </c>
      <c r="AE184" s="24">
        <v>0.75139999999999996</v>
      </c>
      <c r="AF184" s="24">
        <v>0.78420000000000001</v>
      </c>
      <c r="AG184" s="16">
        <f t="shared" ref="AG184:AG205" si="68">AVERAGE(AB184:AF184)</f>
        <v>0.83854000000000006</v>
      </c>
      <c r="AH184" s="43"/>
      <c r="AP184" s="78" t="s">
        <v>72</v>
      </c>
      <c r="AQ184" s="24" t="s">
        <v>1</v>
      </c>
      <c r="AR184" s="24">
        <v>0.92620000000000002</v>
      </c>
      <c r="AS184" s="24">
        <v>0.71789999999999998</v>
      </c>
      <c r="AT184" s="38">
        <v>0.72560000000000002</v>
      </c>
      <c r="AU184" s="38">
        <f>2*AU185*AU186/(AU185+AU186)</f>
        <v>0.69804027847689809</v>
      </c>
      <c r="AV184" s="24">
        <v>0.67110000000000003</v>
      </c>
      <c r="AW184" s="35">
        <f t="shared" ref="AW184:AW227" si="69">AVERAGE(AR184:AV184)</f>
        <v>0.74776805569537963</v>
      </c>
      <c r="AX184" s="43"/>
    </row>
    <row r="185" spans="1:50">
      <c r="A185" s="79"/>
      <c r="B185" s="16" t="s">
        <v>79</v>
      </c>
      <c r="C185" s="16">
        <v>0.95830000000000004</v>
      </c>
      <c r="D185" s="16">
        <v>0.8276</v>
      </c>
      <c r="E185" s="86">
        <f>71/84</f>
        <v>0.84523809523809523</v>
      </c>
      <c r="F185" s="86">
        <v>0.76923076923076905</v>
      </c>
      <c r="G185" s="53">
        <v>0.81299999999999994</v>
      </c>
      <c r="N185" s="26">
        <v>0.93879999999999997</v>
      </c>
      <c r="O185" s="26">
        <v>0.80649999999999999</v>
      </c>
      <c r="P185" s="26">
        <v>0.90449999999999997</v>
      </c>
      <c r="Q185" s="26">
        <v>0.76449999999999996</v>
      </c>
      <c r="R185" s="26">
        <v>0.78200000000000003</v>
      </c>
      <c r="S185" s="58">
        <f t="shared" ref="S185:S218" si="70">AVERAGE(N185:R185)</f>
        <v>0.83926000000000001</v>
      </c>
      <c r="T185" s="43">
        <f>S185-S184</f>
        <v>9.420000000000095E-3</v>
      </c>
      <c r="U185" s="26">
        <v>0.83919999999999995</v>
      </c>
      <c r="V185" s="43">
        <f>U185-U184</f>
        <v>9.3999999999999639E-3</v>
      </c>
      <c r="Z185" s="82"/>
      <c r="AA185" s="16" t="s">
        <v>2</v>
      </c>
      <c r="AB185" s="16">
        <v>0.97219999999999995</v>
      </c>
      <c r="AC185" s="19">
        <v>0.86209999999999998</v>
      </c>
      <c r="AD185" s="37">
        <v>0.89290000000000003</v>
      </c>
      <c r="AE185" s="19">
        <v>0.80469999999999997</v>
      </c>
      <c r="AF185" s="16">
        <v>0.88619999999999999</v>
      </c>
      <c r="AG185" s="16">
        <f t="shared" si="68"/>
        <v>0.88361999999999996</v>
      </c>
      <c r="AH185" s="43"/>
      <c r="AP185" s="79"/>
      <c r="AQ185" s="16" t="s">
        <v>2</v>
      </c>
      <c r="AR185" s="16">
        <v>0.95830000000000004</v>
      </c>
      <c r="AS185" s="16">
        <v>0.96550000000000002</v>
      </c>
      <c r="AT185" s="39">
        <v>0.92859999999999998</v>
      </c>
      <c r="AU185" s="39">
        <f>137/169</f>
        <v>0.81065088757396453</v>
      </c>
      <c r="AV185" s="16">
        <v>0.82110000000000005</v>
      </c>
      <c r="AW185" s="35">
        <f t="shared" si="69"/>
        <v>0.89683017751479288</v>
      </c>
      <c r="AX185" s="43"/>
    </row>
    <row r="186" spans="1:50">
      <c r="A186" s="79"/>
      <c r="B186" s="16" t="s">
        <v>80</v>
      </c>
      <c r="C186" s="16">
        <v>0.92</v>
      </c>
      <c r="D186" s="16">
        <v>0.7742</v>
      </c>
      <c r="E186" s="86">
        <f>71/(71+12)</f>
        <v>0.85542168674698793</v>
      </c>
      <c r="F186" s="86">
        <f>130/(130+49)</f>
        <v>0.72625698324022347</v>
      </c>
      <c r="G186" s="53">
        <v>0.81299999999999994</v>
      </c>
      <c r="N186" s="26">
        <v>0.94520000000000004</v>
      </c>
      <c r="O186" s="26">
        <v>0.83020000000000005</v>
      </c>
      <c r="P186" s="26">
        <v>0.9</v>
      </c>
      <c r="Q186" s="26">
        <v>0.83020000000000005</v>
      </c>
      <c r="R186" s="26">
        <v>0.82310000000000005</v>
      </c>
      <c r="S186" s="58">
        <f t="shared" si="70"/>
        <v>0.86574000000000007</v>
      </c>
      <c r="T186" s="43">
        <f>S186-S184</f>
        <v>3.5900000000000154E-2</v>
      </c>
      <c r="U186" s="26">
        <v>0.86570000000000003</v>
      </c>
      <c r="V186" s="43">
        <f>U186-U184</f>
        <v>3.5900000000000043E-2</v>
      </c>
      <c r="Z186" s="82"/>
      <c r="AA186" s="16" t="s">
        <v>47</v>
      </c>
      <c r="AB186" s="16">
        <v>0.93330000000000002</v>
      </c>
      <c r="AC186" s="19">
        <v>0.75760000000000005</v>
      </c>
      <c r="AD186" s="37">
        <v>0.90359999999999996</v>
      </c>
      <c r="AE186" s="19">
        <v>0.70469999999999999</v>
      </c>
      <c r="AF186" s="16">
        <v>0.70320000000000005</v>
      </c>
      <c r="AG186" s="16">
        <f t="shared" si="68"/>
        <v>0.80047999999999997</v>
      </c>
      <c r="AH186" s="43"/>
      <c r="AP186" s="79"/>
      <c r="AQ186" s="16" t="s">
        <v>47</v>
      </c>
      <c r="AR186" s="16">
        <v>0.89610000000000001</v>
      </c>
      <c r="AS186" s="16">
        <v>0.57140000000000002</v>
      </c>
      <c r="AT186" s="39">
        <v>0.59540000000000004</v>
      </c>
      <c r="AU186" s="39">
        <v>0.6129</v>
      </c>
      <c r="AV186" s="16">
        <v>0.56740000000000002</v>
      </c>
      <c r="AW186" s="35">
        <f t="shared" si="69"/>
        <v>0.64863999999999999</v>
      </c>
      <c r="AX186" s="43"/>
    </row>
    <row r="187" spans="1:50">
      <c r="A187" s="79"/>
      <c r="B187" s="16" t="s">
        <v>81</v>
      </c>
      <c r="C187" s="16">
        <f>1-0.0833</f>
        <v>0.91669999999999996</v>
      </c>
      <c r="D187" s="16">
        <f>1-0.0909</f>
        <v>0.90910000000000002</v>
      </c>
      <c r="E187" s="86">
        <f>K190/E190</f>
        <v>0.98176291793313075</v>
      </c>
      <c r="F187" s="86">
        <f>L190/F190</f>
        <v>0.95621090259159969</v>
      </c>
      <c r="G187" s="53">
        <f>1-0.0265</f>
        <v>0.97350000000000003</v>
      </c>
      <c r="N187" s="27">
        <v>0.94369999999999998</v>
      </c>
      <c r="O187" s="27">
        <v>0.82540000000000002</v>
      </c>
      <c r="P187" s="27">
        <v>0.90449999999999997</v>
      </c>
      <c r="Q187" s="27">
        <v>0.77490000000000003</v>
      </c>
      <c r="R187" s="27">
        <v>0.79549999999999998</v>
      </c>
      <c r="S187" s="58">
        <f t="shared" si="70"/>
        <v>0.8488</v>
      </c>
      <c r="T187" s="43">
        <f>S187-S184</f>
        <v>1.8960000000000088E-2</v>
      </c>
      <c r="U187" s="26">
        <v>0.8488</v>
      </c>
      <c r="V187" s="43">
        <f>U187-U184</f>
        <v>1.9000000000000017E-2</v>
      </c>
      <c r="Z187" s="82"/>
      <c r="AA187" s="16" t="s">
        <v>48</v>
      </c>
      <c r="AB187" s="16">
        <f>AJ190/AB190</f>
        <v>0.93051993999785709</v>
      </c>
      <c r="AC187" s="16">
        <f>AK190/AC190</f>
        <v>0.89611387018472566</v>
      </c>
      <c r="AD187" s="16">
        <f>AL190/AD190</f>
        <v>0.98783934333587631</v>
      </c>
      <c r="AE187" s="16">
        <f>AM190/AE190</f>
        <v>0.94907280049832643</v>
      </c>
      <c r="AF187" s="16">
        <f>AN190/AF190</f>
        <v>0.94699679070791587</v>
      </c>
      <c r="AG187" s="16">
        <f t="shared" si="68"/>
        <v>0.94210854894494012</v>
      </c>
      <c r="AH187" s="43"/>
      <c r="AP187" s="80"/>
      <c r="AQ187" s="16" t="s">
        <v>48</v>
      </c>
      <c r="AR187" s="16">
        <f>1-0.1111</f>
        <v>0.88890000000000002</v>
      </c>
      <c r="AS187" s="16">
        <f>1-0.2727</f>
        <v>0.72730000000000006</v>
      </c>
      <c r="AT187" s="39">
        <f>1-0.0805</f>
        <v>0.91949999999999998</v>
      </c>
      <c r="AU187" s="39">
        <f>1-0.0751</f>
        <v>0.92490000000000006</v>
      </c>
      <c r="AV187" s="16">
        <f>1-0.0887</f>
        <v>0.9113</v>
      </c>
      <c r="AW187" s="35">
        <f t="shared" si="69"/>
        <v>0.87438000000000005</v>
      </c>
      <c r="AX187" s="43"/>
    </row>
    <row r="188" spans="1:50" ht="16.5" thickBot="1">
      <c r="A188" s="79"/>
      <c r="B188" s="16" t="s">
        <v>51</v>
      </c>
      <c r="C188" s="16">
        <f>72*C185</f>
        <v>68.997600000000006</v>
      </c>
      <c r="D188" s="16">
        <f>29*D185</f>
        <v>24.000399999999999</v>
      </c>
      <c r="E188" s="86">
        <f>84*E185</f>
        <v>71</v>
      </c>
      <c r="F188" s="86">
        <f>169*F185</f>
        <v>129.99999999999997</v>
      </c>
      <c r="G188" s="53">
        <f>123*G185</f>
        <v>99.998999999999995</v>
      </c>
      <c r="N188" s="41">
        <v>0.95169999999999999</v>
      </c>
      <c r="O188" s="41">
        <v>0.87270000000000003</v>
      </c>
      <c r="P188" s="41">
        <v>0.91139999999999999</v>
      </c>
      <c r="Q188" s="41">
        <v>0.83169999999999999</v>
      </c>
      <c r="R188" s="41">
        <v>0.83140000000000003</v>
      </c>
      <c r="S188" s="58">
        <f t="shared" si="70"/>
        <v>0.87978000000000001</v>
      </c>
      <c r="T188" s="43">
        <f>S188-S184</f>
        <v>4.9940000000000095E-2</v>
      </c>
      <c r="U188" s="41">
        <v>0.87980000000000003</v>
      </c>
      <c r="V188" s="43">
        <f>U188-U184</f>
        <v>5.0000000000000044E-2</v>
      </c>
      <c r="Z188" s="18"/>
      <c r="AA188" s="16" t="s">
        <v>51</v>
      </c>
      <c r="AB188" s="16">
        <f>72*AB185</f>
        <v>69.998400000000004</v>
      </c>
      <c r="AC188" s="19">
        <f>29*AC185</f>
        <v>25.000899999999998</v>
      </c>
      <c r="AD188" s="37">
        <f>84*AD185</f>
        <v>75.003600000000006</v>
      </c>
      <c r="AE188" s="19">
        <f>169*AE185</f>
        <v>135.99429999999998</v>
      </c>
      <c r="AF188" s="16">
        <f>123*AF185</f>
        <v>109.0026</v>
      </c>
      <c r="AG188" s="16">
        <f t="shared" si="68"/>
        <v>82.999960000000016</v>
      </c>
      <c r="AH188" s="43"/>
      <c r="AI188" s="1">
        <f>23/29</f>
        <v>0.7931034482758621</v>
      </c>
      <c r="AJ188" s="1">
        <f>23/(23+4)</f>
        <v>0.85185185185185186</v>
      </c>
      <c r="AK188" s="1">
        <f>2*AI188*AJ188/(AI188+AJ188)</f>
        <v>0.82142857142857151</v>
      </c>
      <c r="AP188" s="18"/>
      <c r="AQ188" s="16" t="s">
        <v>51</v>
      </c>
      <c r="AR188" s="16">
        <f>72*AR185</f>
        <v>68.997600000000006</v>
      </c>
      <c r="AS188" s="16">
        <f>29*AS185</f>
        <v>27.999500000000001</v>
      </c>
      <c r="AT188" s="39">
        <f>84*AT185</f>
        <v>78.002399999999994</v>
      </c>
      <c r="AU188" s="39">
        <f>169*AU185</f>
        <v>137</v>
      </c>
      <c r="AV188" s="16">
        <f>123*AV185</f>
        <v>100.9953</v>
      </c>
      <c r="AW188" s="35">
        <f t="shared" si="69"/>
        <v>82.598960000000005</v>
      </c>
      <c r="AX188" s="43"/>
    </row>
    <row r="189" spans="1:50">
      <c r="A189" s="79"/>
      <c r="B189" s="56" t="s">
        <v>52</v>
      </c>
      <c r="C189" s="16">
        <f>((1-C186)*C188)/C186</f>
        <v>5.9997913043478235</v>
      </c>
      <c r="D189" s="16">
        <f>((1-D186)*D188)/D186</f>
        <v>6.9998583311805733</v>
      </c>
      <c r="E189" s="86">
        <f>((1-E186)*E188)/E186</f>
        <v>12.000000000000002</v>
      </c>
      <c r="F189" s="86">
        <f>((1-F186)*F188)/F186</f>
        <v>48.999999999999986</v>
      </c>
      <c r="G189" s="53">
        <f>((1-G186)*G188)/G186</f>
        <v>23.001000000000008</v>
      </c>
      <c r="N189" s="28">
        <v>0.95830000000000004</v>
      </c>
      <c r="O189" s="26">
        <v>0.8276</v>
      </c>
      <c r="P189" s="26">
        <v>0.84519999999999995</v>
      </c>
      <c r="Q189" s="26">
        <v>0.76919999999999999</v>
      </c>
      <c r="R189" s="26">
        <v>0.81299999999999994</v>
      </c>
      <c r="S189" s="58">
        <f t="shared" si="70"/>
        <v>0.84266000000000008</v>
      </c>
      <c r="T189" s="43"/>
      <c r="U189" s="26">
        <v>0.84260000000000002</v>
      </c>
      <c r="V189" s="43"/>
      <c r="Z189" s="18"/>
      <c r="AA189" s="16" t="s">
        <v>52</v>
      </c>
      <c r="AB189" s="16">
        <f>((1-AB186)*AB188)/AB186</f>
        <v>5.0025643201542902</v>
      </c>
      <c r="AC189" s="19">
        <f t="shared" ref="AC189:AF189" si="71">((1-AC186)*AC188)/AC186</f>
        <v>7.9992319957761318</v>
      </c>
      <c r="AD189" s="37">
        <f t="shared" si="71"/>
        <v>8.0017120849933647</v>
      </c>
      <c r="AE189" s="19">
        <f t="shared" si="71"/>
        <v>56.987536242372641</v>
      </c>
      <c r="AF189" s="16">
        <f t="shared" si="71"/>
        <v>46.006785665529002</v>
      </c>
      <c r="AG189" s="16">
        <f t="shared" si="68"/>
        <v>24.799566061765084</v>
      </c>
      <c r="AH189" s="43"/>
      <c r="AP189" s="18"/>
      <c r="AQ189" s="16" t="s">
        <v>52</v>
      </c>
      <c r="AR189" s="16">
        <f>((1-AR186)*AR188)/AR186</f>
        <v>8.000056511550051</v>
      </c>
      <c r="AS189" s="16">
        <f>((1-AS186)*AS188)/AS186</f>
        <v>21.002075078753936</v>
      </c>
      <c r="AT189" s="39">
        <f t="shared" ref="AT189:AV189" si="72">((1-AT186)*AT188)/AT186</f>
        <v>53.00599771582128</v>
      </c>
      <c r="AU189" s="39">
        <f t="shared" si="72"/>
        <v>86.527492249959209</v>
      </c>
      <c r="AV189" s="16">
        <f t="shared" si="72"/>
        <v>77.001351392315826</v>
      </c>
      <c r="AW189" s="35">
        <f t="shared" si="69"/>
        <v>49.107394589680062</v>
      </c>
      <c r="AX189" s="43"/>
    </row>
    <row r="190" spans="1:50">
      <c r="A190" s="79"/>
      <c r="B190" s="16" t="s">
        <v>53</v>
      </c>
      <c r="C190" s="16">
        <f>144-72</f>
        <v>72</v>
      </c>
      <c r="D190" s="16">
        <f>106-29</f>
        <v>77</v>
      </c>
      <c r="E190" s="86">
        <f>742-84</f>
        <v>658</v>
      </c>
      <c r="F190" s="86">
        <f>1288-169</f>
        <v>1119</v>
      </c>
      <c r="G190" s="53">
        <f>991-123</f>
        <v>868</v>
      </c>
      <c r="H190" s="16" t="s">
        <v>58</v>
      </c>
      <c r="I190" s="23">
        <f>C190-C189</f>
        <v>66.000208695652177</v>
      </c>
      <c r="J190" s="23">
        <f>D190-D189</f>
        <v>70.000141668819424</v>
      </c>
      <c r="K190" s="16">
        <f>E190-E189</f>
        <v>646</v>
      </c>
      <c r="L190" s="16">
        <f>F190-F189</f>
        <v>1070</v>
      </c>
      <c r="M190" s="16">
        <f>G190-G189</f>
        <v>844.99900000000002</v>
      </c>
      <c r="N190" s="30">
        <v>0.95830000000000004</v>
      </c>
      <c r="O190" s="27">
        <v>0.86209999999999998</v>
      </c>
      <c r="P190" s="27">
        <v>0.84519999999999995</v>
      </c>
      <c r="Q190" s="30">
        <v>0.81659999999999999</v>
      </c>
      <c r="R190" s="27">
        <v>0.84550000000000003</v>
      </c>
      <c r="S190" s="58">
        <f t="shared" si="70"/>
        <v>0.86553999999999998</v>
      </c>
      <c r="T190" s="43">
        <f>S190-S189</f>
        <v>2.28799999999999E-2</v>
      </c>
      <c r="U190" s="27">
        <v>0.86550000000000005</v>
      </c>
      <c r="V190" s="43">
        <f>U190-U189</f>
        <v>2.2900000000000031E-2</v>
      </c>
      <c r="Z190" s="18"/>
      <c r="AA190" s="16" t="s">
        <v>53</v>
      </c>
      <c r="AB190" s="16">
        <f>144-72</f>
        <v>72</v>
      </c>
      <c r="AC190" s="19">
        <f>106-29</f>
        <v>77</v>
      </c>
      <c r="AD190" s="37">
        <f>742-84</f>
        <v>658</v>
      </c>
      <c r="AE190" s="19">
        <f>1288-169</f>
        <v>1119</v>
      </c>
      <c r="AF190" s="16">
        <f>991-123</f>
        <v>868</v>
      </c>
      <c r="AG190" s="16">
        <f t="shared" si="68"/>
        <v>558.79999999999995</v>
      </c>
      <c r="AH190" s="43"/>
      <c r="AI190" s="16" t="s">
        <v>58</v>
      </c>
      <c r="AJ190" s="23">
        <f>AB190-AB189</f>
        <v>66.997435679845708</v>
      </c>
      <c r="AK190" s="23">
        <f>AC190-AC189</f>
        <v>69.000768004223872</v>
      </c>
      <c r="AL190" s="16">
        <f>AD190-AD189</f>
        <v>649.99828791500659</v>
      </c>
      <c r="AM190" s="16">
        <f>AE190-AE189</f>
        <v>1062.0124637576273</v>
      </c>
      <c r="AN190" s="16">
        <f>AF190-AF189</f>
        <v>821.99321433447096</v>
      </c>
      <c r="AP190" s="18"/>
      <c r="AQ190" s="16" t="s">
        <v>53</v>
      </c>
      <c r="AR190" s="16">
        <f>144-72</f>
        <v>72</v>
      </c>
      <c r="AS190" s="16">
        <f>106-29</f>
        <v>77</v>
      </c>
      <c r="AT190" s="39">
        <f>742-84</f>
        <v>658</v>
      </c>
      <c r="AU190" s="39">
        <f>1288-169</f>
        <v>1119</v>
      </c>
      <c r="AV190" s="16">
        <f>991-123</f>
        <v>868</v>
      </c>
      <c r="AW190" s="35">
        <f t="shared" si="69"/>
        <v>558.79999999999995</v>
      </c>
      <c r="AX190" s="43"/>
    </row>
    <row r="191" spans="1:50">
      <c r="A191" s="79"/>
      <c r="B191" s="16" t="s">
        <v>54</v>
      </c>
      <c r="C191" s="16">
        <f>(1-C185)*C188/C185</f>
        <v>3.0023999999999975</v>
      </c>
      <c r="D191" s="16">
        <f>(1-D185)*D188/D185</f>
        <v>4.9996</v>
      </c>
      <c r="E191" s="86">
        <f>(1-E185)*E188/E185</f>
        <v>13.000000000000002</v>
      </c>
      <c r="F191" s="86">
        <f>(1-F185)*F188/F185</f>
        <v>39.000000000000036</v>
      </c>
      <c r="G191" s="53">
        <f>(1-G185)*G188/G185</f>
        <v>23.001000000000008</v>
      </c>
      <c r="N191" s="28">
        <v>0.95830000000000004</v>
      </c>
      <c r="O191" s="26">
        <v>0.75860000000000005</v>
      </c>
      <c r="P191" s="28">
        <v>0.85709999999999997</v>
      </c>
      <c r="Q191" s="26">
        <v>0.78110000000000002</v>
      </c>
      <c r="R191" s="28">
        <v>0.86990000000000001</v>
      </c>
      <c r="S191" s="58">
        <f t="shared" si="70"/>
        <v>0.84499999999999997</v>
      </c>
      <c r="T191" s="43">
        <f>S191-S189</f>
        <v>2.3399999999998977E-3</v>
      </c>
      <c r="U191" s="26">
        <v>0.84499999999999997</v>
      </c>
      <c r="V191" s="43">
        <f>U191-U189</f>
        <v>2.3999999999999577E-3</v>
      </c>
      <c r="Z191" s="18"/>
      <c r="AA191" s="16" t="s">
        <v>54</v>
      </c>
      <c r="AB191" s="16">
        <f>(1-AB185)*AB188/AB185</f>
        <v>2.0016000000000034</v>
      </c>
      <c r="AC191" s="19">
        <f t="shared" ref="AC191:AF191" si="73">(1-AC185)*AC188/AC185</f>
        <v>3.9991000000000008</v>
      </c>
      <c r="AD191" s="37">
        <f t="shared" si="73"/>
        <v>8.9963999999999977</v>
      </c>
      <c r="AE191" s="19">
        <f t="shared" si="73"/>
        <v>33.005700000000004</v>
      </c>
      <c r="AF191" s="16">
        <f t="shared" si="73"/>
        <v>13.997400000000001</v>
      </c>
      <c r="AG191" s="16">
        <f t="shared" si="68"/>
        <v>12.400040000000001</v>
      </c>
      <c r="AH191" s="43"/>
      <c r="AP191" s="18"/>
      <c r="AQ191" s="16" t="s">
        <v>54</v>
      </c>
      <c r="AR191" s="16">
        <f>(1-AR185)*AR188/AR185</f>
        <v>3.0023999999999975</v>
      </c>
      <c r="AS191" s="16">
        <f>(1-AS185)*AS188/AS185</f>
        <v>1.0004999999999993</v>
      </c>
      <c r="AT191" s="39">
        <f t="shared" ref="AT191:AV191" si="74">(1-AT185)*AT188/AT185</f>
        <v>5.9976000000000012</v>
      </c>
      <c r="AU191" s="39">
        <f t="shared" si="74"/>
        <v>31.999999999999993</v>
      </c>
      <c r="AV191" s="16">
        <f t="shared" si="74"/>
        <v>22.004699999999993</v>
      </c>
      <c r="AW191" s="35">
        <f t="shared" si="69"/>
        <v>12.801039999999995</v>
      </c>
      <c r="AX191" s="43"/>
    </row>
    <row r="192" spans="1:50">
      <c r="A192" s="79"/>
      <c r="B192" s="16" t="s">
        <v>55</v>
      </c>
      <c r="C192" s="16">
        <v>0.87580000000000002</v>
      </c>
      <c r="D192" s="16">
        <v>0.72199999999999998</v>
      </c>
      <c r="E192" s="86">
        <f>(E188*K190-E189*E191)/(POWER(((E188+E189)*(E188+E191)*(K190+E189)*(K190+E191)),0.5))</f>
        <v>0.83133655600506451</v>
      </c>
      <c r="F192" s="86">
        <f>(F188*L190-F189*F191)/(POWER(((F188+F189)*(F188+F191)*(L190+F189)*(L190+F191)),0.5))</f>
        <v>0.70805762873651468</v>
      </c>
      <c r="G192" s="53">
        <v>0.78649999999999998</v>
      </c>
      <c r="N192" s="27">
        <v>0.93059999999999998</v>
      </c>
      <c r="O192" s="30">
        <v>0.89659999999999995</v>
      </c>
      <c r="P192" s="27">
        <v>0.84519999999999995</v>
      </c>
      <c r="Q192" s="27">
        <v>0.80469999999999997</v>
      </c>
      <c r="R192" s="30">
        <v>0.86990000000000001</v>
      </c>
      <c r="S192" s="58">
        <f t="shared" si="70"/>
        <v>0.86939999999999995</v>
      </c>
      <c r="T192" s="43">
        <f>S192-S189</f>
        <v>2.6739999999999875E-2</v>
      </c>
      <c r="U192" s="30">
        <v>0.86939999999999995</v>
      </c>
      <c r="V192" s="43">
        <f>U192-U189</f>
        <v>2.6799999999999935E-2</v>
      </c>
      <c r="Z192" s="18"/>
      <c r="AA192" s="16" t="s">
        <v>55</v>
      </c>
      <c r="AB192" s="16">
        <v>0.90359999999999996</v>
      </c>
      <c r="AC192" s="19">
        <v>0.73</v>
      </c>
      <c r="AD192" s="37">
        <v>0.88529999999999998</v>
      </c>
      <c r="AE192" s="19">
        <v>0.71299999999999997</v>
      </c>
      <c r="AF192" s="16">
        <v>0.75629999999999997</v>
      </c>
      <c r="AG192" s="16">
        <f t="shared" si="68"/>
        <v>0.79764000000000002</v>
      </c>
      <c r="AH192" s="43"/>
      <c r="AP192" s="18"/>
      <c r="AQ192" s="16" t="s">
        <v>55</v>
      </c>
      <c r="AR192" s="16">
        <v>0.84930000000000005</v>
      </c>
      <c r="AS192" s="16">
        <v>0.61950000000000005</v>
      </c>
      <c r="AT192" s="39">
        <v>0.70469999999999999</v>
      </c>
      <c r="AU192" s="39">
        <v>0.6421</v>
      </c>
      <c r="AV192" s="16">
        <v>0.62909999999999999</v>
      </c>
      <c r="AW192" s="35">
        <f t="shared" si="69"/>
        <v>0.68894</v>
      </c>
      <c r="AX192" s="43"/>
    </row>
    <row r="193" spans="1:56" ht="16.5" thickBot="1">
      <c r="A193" s="79"/>
      <c r="B193" s="16" t="s">
        <v>56</v>
      </c>
      <c r="C193" s="16">
        <v>0.9375</v>
      </c>
      <c r="D193" s="16">
        <v>0.86829999999999996</v>
      </c>
      <c r="E193" s="86">
        <f>(E185*(1-E187))/2+(E185+1)*E187/2</f>
        <v>0.91350050658561299</v>
      </c>
      <c r="F193" s="86">
        <f>(F185*(1-F187))/2+(F185+1)*F187/2</f>
        <v>0.86272083591118442</v>
      </c>
      <c r="G193" s="53">
        <v>0.89329999999999998</v>
      </c>
      <c r="N193" s="41">
        <v>0.95830000000000004</v>
      </c>
      <c r="O193" s="42">
        <v>0.8276</v>
      </c>
      <c r="P193" s="41">
        <v>0.85709999999999997</v>
      </c>
      <c r="Q193" s="42">
        <v>0.77510000000000001</v>
      </c>
      <c r="R193" s="42">
        <v>0.86180000000000001</v>
      </c>
      <c r="S193" s="58">
        <f t="shared" si="70"/>
        <v>0.85597999999999996</v>
      </c>
      <c r="T193" s="43">
        <f>S193-S189</f>
        <v>1.3319999999999887E-2</v>
      </c>
      <c r="U193" s="42">
        <v>0.85599999999999998</v>
      </c>
      <c r="V193" s="43">
        <f>U193-U189</f>
        <v>1.3399999999999967E-2</v>
      </c>
      <c r="Z193" s="18"/>
      <c r="AA193" s="16" t="s">
        <v>56</v>
      </c>
      <c r="AB193" s="16">
        <v>0.95140000000000002</v>
      </c>
      <c r="AC193" s="19">
        <v>0.87909999999999999</v>
      </c>
      <c r="AD193" s="37">
        <v>0.94030000000000002</v>
      </c>
      <c r="AE193" s="19">
        <v>0.87690000000000001</v>
      </c>
      <c r="AF193" s="16">
        <v>0.91659999999999997</v>
      </c>
      <c r="AG193" s="16">
        <f t="shared" si="68"/>
        <v>0.91286</v>
      </c>
      <c r="AH193" s="43"/>
      <c r="AP193" s="18"/>
      <c r="AQ193" s="16" t="s">
        <v>56</v>
      </c>
      <c r="AR193" s="16">
        <v>0.92359999999999998</v>
      </c>
      <c r="AS193" s="16">
        <v>0.84640000000000004</v>
      </c>
      <c r="AT193" s="39">
        <v>0.92400000000000004</v>
      </c>
      <c r="AU193" s="39">
        <v>0.85589999999999999</v>
      </c>
      <c r="AV193" s="16">
        <v>0.86619999999999997</v>
      </c>
      <c r="AW193" s="35">
        <f t="shared" si="69"/>
        <v>0.88322000000000001</v>
      </c>
      <c r="AX193" s="43"/>
    </row>
    <row r="194" spans="1:56">
      <c r="A194" s="80"/>
      <c r="B194" s="16" t="s">
        <v>57</v>
      </c>
      <c r="C194" s="16">
        <v>0.9375</v>
      </c>
      <c r="D194" s="16">
        <v>0.88680000000000003</v>
      </c>
      <c r="E194" s="86">
        <f>(E188+K190)/(E188+E189+E191+K190)</f>
        <v>0.96630727762803237</v>
      </c>
      <c r="F194" s="86">
        <f>(F188+L190)/(F188+F189+F191+L190)</f>
        <v>0.93167701863354035</v>
      </c>
      <c r="G194" s="53">
        <v>0.9536</v>
      </c>
      <c r="N194" s="26">
        <v>0.92</v>
      </c>
      <c r="O194" s="26">
        <v>0.7742</v>
      </c>
      <c r="P194" s="26">
        <v>0.85540000000000005</v>
      </c>
      <c r="Q194" s="26">
        <v>0.72619999999999996</v>
      </c>
      <c r="R194" s="28">
        <v>0.81299999999999994</v>
      </c>
      <c r="S194" s="58">
        <f t="shared" si="70"/>
        <v>0.81776000000000004</v>
      </c>
      <c r="T194" s="43"/>
      <c r="U194" s="26">
        <v>0.81769999999999998</v>
      </c>
      <c r="V194" s="43"/>
      <c r="Z194" s="18"/>
      <c r="AA194" s="16" t="s">
        <v>57</v>
      </c>
      <c r="AB194" s="16">
        <v>0.95140000000000002</v>
      </c>
      <c r="AC194" s="19">
        <v>0.88680000000000003</v>
      </c>
      <c r="AD194" s="37">
        <v>0.97709999999999997</v>
      </c>
      <c r="AE194" s="19">
        <v>0.93010000000000004</v>
      </c>
      <c r="AF194" s="16">
        <v>0.9395</v>
      </c>
      <c r="AG194" s="16">
        <f t="shared" si="68"/>
        <v>0.93697999999999992</v>
      </c>
      <c r="AH194" s="43"/>
      <c r="AP194" s="18"/>
      <c r="AQ194" s="16" t="s">
        <v>57</v>
      </c>
      <c r="AR194" s="16">
        <v>0.92359999999999998</v>
      </c>
      <c r="AS194" s="16">
        <v>0.79249999999999998</v>
      </c>
      <c r="AT194" s="39">
        <v>0.92049999999999998</v>
      </c>
      <c r="AU194" s="39">
        <v>0.90680000000000005</v>
      </c>
      <c r="AV194" s="16">
        <v>0.90010000000000001</v>
      </c>
      <c r="AW194" s="35">
        <f t="shared" si="69"/>
        <v>0.88870000000000005</v>
      </c>
      <c r="AX194" s="43"/>
    </row>
    <row r="195" spans="1:56" ht="15.6" customHeight="1">
      <c r="A195" s="78" t="s">
        <v>66</v>
      </c>
      <c r="B195" s="24" t="s">
        <v>1</v>
      </c>
      <c r="C195" s="24">
        <v>0.93879999999999997</v>
      </c>
      <c r="D195" s="24">
        <v>0.80649999999999999</v>
      </c>
      <c r="E195" s="24">
        <v>0.90449999999999997</v>
      </c>
      <c r="F195" s="24">
        <v>0.76449999999999996</v>
      </c>
      <c r="G195" s="24">
        <v>0.78200000000000003</v>
      </c>
      <c r="N195" s="27">
        <v>0.92</v>
      </c>
      <c r="O195" s="27">
        <v>0.75760000000000005</v>
      </c>
      <c r="P195" s="27">
        <v>0.97260000000000002</v>
      </c>
      <c r="Q195" s="27">
        <v>0.71879999999999999</v>
      </c>
      <c r="R195" s="27">
        <v>0.72729999999999995</v>
      </c>
      <c r="S195" s="58">
        <f t="shared" si="70"/>
        <v>0.81925999999999988</v>
      </c>
      <c r="T195" s="43">
        <f>S195-S194</f>
        <v>1.4999999999998348E-3</v>
      </c>
      <c r="U195" s="27">
        <v>0.81920000000000004</v>
      </c>
      <c r="V195" s="43">
        <f>U195-U194</f>
        <v>1.5000000000000568E-3</v>
      </c>
      <c r="Z195" s="82" t="s">
        <v>68</v>
      </c>
      <c r="AA195" s="24" t="s">
        <v>1</v>
      </c>
      <c r="AB195" s="24">
        <v>0.95830000000000004</v>
      </c>
      <c r="AC195" s="24">
        <v>0.82142999999999999</v>
      </c>
      <c r="AD195" s="24">
        <v>0.90800000000000003</v>
      </c>
      <c r="AE195" s="24">
        <v>0.82799999999999996</v>
      </c>
      <c r="AF195" s="24">
        <v>0.80300000000000005</v>
      </c>
      <c r="AG195" s="16">
        <f t="shared" si="68"/>
        <v>0.86374600000000012</v>
      </c>
      <c r="AH195" s="43">
        <f>AG195-AG184</f>
        <v>2.5206000000000062E-2</v>
      </c>
      <c r="AP195" s="82" t="s">
        <v>73</v>
      </c>
      <c r="AQ195" s="24" t="s">
        <v>1</v>
      </c>
      <c r="AR195" s="24">
        <v>0.93240000000000001</v>
      </c>
      <c r="AS195" s="24">
        <v>0.75860000000000005</v>
      </c>
      <c r="AT195" s="24">
        <v>0.78720000000000001</v>
      </c>
      <c r="AU195" s="24">
        <v>0.74629999999999996</v>
      </c>
      <c r="AV195" s="24">
        <v>0.71140000000000003</v>
      </c>
      <c r="AW195" s="35">
        <f t="shared" si="69"/>
        <v>0.78717999999999999</v>
      </c>
      <c r="AX195" s="43">
        <f>AW195-AW184</f>
        <v>3.9411944304620361E-2</v>
      </c>
    </row>
    <row r="196" spans="1:56">
      <c r="A196" s="79"/>
      <c r="B196" s="16" t="s">
        <v>2</v>
      </c>
      <c r="C196" s="16">
        <v>0.95830000000000004</v>
      </c>
      <c r="D196" s="16">
        <v>0.86209999999999998</v>
      </c>
      <c r="E196" s="16">
        <v>0.84519999999999995</v>
      </c>
      <c r="F196" s="16">
        <v>0.81659999999999999</v>
      </c>
      <c r="G196" s="16">
        <v>0.84550000000000003</v>
      </c>
      <c r="N196" s="26">
        <v>0.93240000000000001</v>
      </c>
      <c r="O196" s="26">
        <v>0.91669999999999996</v>
      </c>
      <c r="P196" s="26">
        <v>0.94740000000000002</v>
      </c>
      <c r="Q196" s="26">
        <v>0.88590000000000002</v>
      </c>
      <c r="R196" s="26">
        <v>0.78100000000000003</v>
      </c>
      <c r="S196" s="58">
        <f t="shared" si="70"/>
        <v>0.89268000000000003</v>
      </c>
      <c r="T196" s="43">
        <f>S196-S194</f>
        <v>7.4919999999999987E-2</v>
      </c>
      <c r="U196" s="26">
        <v>0.89259999999999995</v>
      </c>
      <c r="V196" s="43">
        <f>U196-U194</f>
        <v>7.4899999999999967E-2</v>
      </c>
      <c r="Z196" s="82"/>
      <c r="AA196" s="16" t="s">
        <v>2</v>
      </c>
      <c r="AB196" s="16">
        <v>0.95830000000000004</v>
      </c>
      <c r="AC196" s="16">
        <v>0.79310000000000003</v>
      </c>
      <c r="AD196" s="16">
        <v>0.88100000000000001</v>
      </c>
      <c r="AE196" s="16">
        <v>0.84019999999999995</v>
      </c>
      <c r="AF196" s="16">
        <v>0.878</v>
      </c>
      <c r="AG196" s="16">
        <f t="shared" si="68"/>
        <v>0.87012</v>
      </c>
      <c r="AH196" s="43">
        <f>AG196-AG185</f>
        <v>-1.3499999999999956E-2</v>
      </c>
      <c r="AP196" s="82"/>
      <c r="AQ196" s="16" t="s">
        <v>2</v>
      </c>
      <c r="AR196" s="16">
        <v>0.95830000000000004</v>
      </c>
      <c r="AS196" s="16">
        <v>0.75860000000000005</v>
      </c>
      <c r="AT196" s="16">
        <v>0.88100000000000001</v>
      </c>
      <c r="AU196" s="16">
        <v>0.88759999999999994</v>
      </c>
      <c r="AV196" s="16">
        <v>0.86180000000000001</v>
      </c>
      <c r="AW196" s="35">
        <f t="shared" si="69"/>
        <v>0.8694599999999999</v>
      </c>
      <c r="AX196" s="43">
        <f>AW196-AW185</f>
        <v>-2.7370177514792982E-2</v>
      </c>
    </row>
    <row r="197" spans="1:56">
      <c r="A197" s="79"/>
      <c r="B197" s="16" t="s">
        <v>47</v>
      </c>
      <c r="C197" s="16">
        <v>0.92</v>
      </c>
      <c r="D197" s="16">
        <v>0.75760000000000005</v>
      </c>
      <c r="E197" s="16">
        <v>0.97260000000000002</v>
      </c>
      <c r="F197" s="16">
        <v>0.71879999999999999</v>
      </c>
      <c r="G197" s="16">
        <v>0.72729999999999995</v>
      </c>
      <c r="N197" s="30">
        <v>0.95709999999999995</v>
      </c>
      <c r="O197" s="27">
        <v>0.76470000000000005</v>
      </c>
      <c r="P197" s="27">
        <v>0.97260000000000002</v>
      </c>
      <c r="Q197" s="27">
        <v>0.74729999999999996</v>
      </c>
      <c r="R197" s="27">
        <v>0.7329</v>
      </c>
      <c r="S197" s="58">
        <f t="shared" si="70"/>
        <v>0.83492</v>
      </c>
      <c r="T197" s="43">
        <f>S197-S194</f>
        <v>1.7159999999999953E-2</v>
      </c>
      <c r="U197" s="27">
        <v>0.83489999999999998</v>
      </c>
      <c r="V197" s="43">
        <f>U197-U194</f>
        <v>1.7199999999999993E-2</v>
      </c>
      <c r="Z197" s="82"/>
      <c r="AA197" s="16" t="s">
        <v>47</v>
      </c>
      <c r="AB197" s="16">
        <v>0.95830000000000004</v>
      </c>
      <c r="AC197" s="16">
        <v>0.85185200000000005</v>
      </c>
      <c r="AD197" s="16">
        <v>0.93669999999999998</v>
      </c>
      <c r="AE197" s="16">
        <v>0.81610000000000005</v>
      </c>
      <c r="AF197" s="16">
        <v>0.73970000000000002</v>
      </c>
      <c r="AG197" s="16">
        <f t="shared" si="68"/>
        <v>0.86053040000000003</v>
      </c>
      <c r="AH197" s="43">
        <f t="shared" ref="AH197:AH205" si="75">AG197-AG186</f>
        <v>6.0050400000000059E-2</v>
      </c>
      <c r="AP197" s="82"/>
      <c r="AQ197" s="16" t="s">
        <v>47</v>
      </c>
      <c r="AR197" s="16">
        <v>0.90790000000000004</v>
      </c>
      <c r="AS197" s="16">
        <v>0.68740000000000001</v>
      </c>
      <c r="AT197" s="16">
        <v>0.71150000000000002</v>
      </c>
      <c r="AU197" s="16">
        <v>0.64380000000000004</v>
      </c>
      <c r="AV197" s="16">
        <v>0.60570000000000002</v>
      </c>
      <c r="AW197" s="35">
        <f t="shared" si="69"/>
        <v>0.71126</v>
      </c>
      <c r="AX197" s="43">
        <f t="shared" ref="AX197:AX205" si="76">AW197-AW186</f>
        <v>6.2620000000000009E-2</v>
      </c>
    </row>
    <row r="198" spans="1:56" ht="16.5" thickBot="1">
      <c r="A198" s="79"/>
      <c r="B198" s="16" t="s">
        <v>48</v>
      </c>
      <c r="C198" s="16">
        <f>1-0.0833</f>
        <v>0.91669999999999996</v>
      </c>
      <c r="D198" s="16">
        <f>1-0.1039</f>
        <v>0.89610000000000001</v>
      </c>
      <c r="E198" s="16">
        <f>1-0.003</f>
        <v>0.997</v>
      </c>
      <c r="F198" s="16">
        <f>1-0.0483</f>
        <v>0.95169999999999999</v>
      </c>
      <c r="G198" s="16">
        <f>1-0.0449</f>
        <v>0.95509999999999995</v>
      </c>
      <c r="N198" s="42">
        <v>0.94520000000000004</v>
      </c>
      <c r="O198" s="41">
        <v>0.92310000000000003</v>
      </c>
      <c r="P198" s="41">
        <v>0.97299999999999998</v>
      </c>
      <c r="Q198" s="41">
        <v>0.89729999999999999</v>
      </c>
      <c r="R198" s="42">
        <v>0.80300000000000005</v>
      </c>
      <c r="S198" s="58">
        <f t="shared" si="70"/>
        <v>0.90832000000000002</v>
      </c>
      <c r="T198" s="43">
        <f>S198-S194</f>
        <v>9.0559999999999974E-2</v>
      </c>
      <c r="U198" s="41">
        <v>0.9083</v>
      </c>
      <c r="V198" s="43">
        <f>U198-U194</f>
        <v>9.0600000000000014E-2</v>
      </c>
      <c r="Z198" s="82"/>
      <c r="AA198" s="16" t="s">
        <v>48</v>
      </c>
      <c r="AB198" s="16">
        <f>1-0.0417</f>
        <v>0.95830000000000004</v>
      </c>
      <c r="AC198" s="16">
        <f>AK201/AC201</f>
        <v>0.94805223489526347</v>
      </c>
      <c r="AD198" s="16">
        <f>AL201/AD201</f>
        <v>0.99239966927806755</v>
      </c>
      <c r="AE198" s="16">
        <f>AM201/AE201</f>
        <v>0.97140582000379105</v>
      </c>
      <c r="AF198" s="16">
        <f>AN201/AF201</f>
        <v>0.95621771218746665</v>
      </c>
      <c r="AG198" s="16">
        <f t="shared" si="68"/>
        <v>0.96527508727291766</v>
      </c>
      <c r="AH198" s="43">
        <f t="shared" si="75"/>
        <v>2.3166538327977548E-2</v>
      </c>
      <c r="AP198" s="82"/>
      <c r="AQ198" s="16" t="s">
        <v>48</v>
      </c>
      <c r="AR198" s="16">
        <f>1-0.0972</f>
        <v>0.90280000000000005</v>
      </c>
      <c r="AS198" s="16">
        <f>1-0.0909</f>
        <v>0.90910000000000002</v>
      </c>
      <c r="AT198" s="16">
        <f>1-0.0456</f>
        <v>0.95440000000000003</v>
      </c>
      <c r="AU198" s="16">
        <f>1-0.0742</f>
        <v>0.92579999999999996</v>
      </c>
      <c r="AV198" s="16">
        <f>1-0.0795</f>
        <v>0.92049999999999998</v>
      </c>
      <c r="AW198" s="35">
        <f t="shared" si="69"/>
        <v>0.9225199999999999</v>
      </c>
      <c r="AX198" s="43">
        <f t="shared" si="76"/>
        <v>4.813999999999985E-2</v>
      </c>
    </row>
    <row r="199" spans="1:56">
      <c r="A199" s="79"/>
      <c r="B199" s="16" t="s">
        <v>51</v>
      </c>
      <c r="C199" s="16">
        <f>72*C196</f>
        <v>68.997600000000006</v>
      </c>
      <c r="D199" s="16">
        <f>29*D196</f>
        <v>25.000899999999998</v>
      </c>
      <c r="E199" s="16">
        <f>84*E196</f>
        <v>70.996799999999993</v>
      </c>
      <c r="F199" s="16">
        <f>169*F196</f>
        <v>138.00540000000001</v>
      </c>
      <c r="G199" s="16">
        <f>123*G196</f>
        <v>103.9965</v>
      </c>
      <c r="N199" s="27">
        <v>0.91669999999999996</v>
      </c>
      <c r="O199" s="27">
        <v>0.90910000000000002</v>
      </c>
      <c r="P199" s="27">
        <v>0.98170000000000002</v>
      </c>
      <c r="Q199" s="27">
        <v>0.95620000000000005</v>
      </c>
      <c r="R199" s="30">
        <v>0.97350000000000003</v>
      </c>
      <c r="S199" s="58">
        <f t="shared" si="70"/>
        <v>0.94743999999999995</v>
      </c>
      <c r="T199" s="43"/>
      <c r="U199" s="27">
        <v>0.94740000000000002</v>
      </c>
      <c r="V199" s="43"/>
      <c r="Z199" s="18"/>
      <c r="AA199" s="16" t="s">
        <v>51</v>
      </c>
      <c r="AB199" s="16">
        <f>72*AB196</f>
        <v>68.997600000000006</v>
      </c>
      <c r="AC199" s="16">
        <f>29*AC196</f>
        <v>22.9999</v>
      </c>
      <c r="AD199" s="16">
        <f>84*AD196</f>
        <v>74.004000000000005</v>
      </c>
      <c r="AE199" s="19">
        <f>169*AE196</f>
        <v>141.99379999999999</v>
      </c>
      <c r="AF199" s="16">
        <f>123*AF196</f>
        <v>107.994</v>
      </c>
      <c r="AG199" s="16">
        <f t="shared" si="68"/>
        <v>83.19786000000002</v>
      </c>
      <c r="AH199" s="43"/>
      <c r="AP199" s="18"/>
      <c r="AQ199" s="16" t="s">
        <v>51</v>
      </c>
      <c r="AR199" s="16">
        <f>72*AR196</f>
        <v>68.997600000000006</v>
      </c>
      <c r="AS199" s="16">
        <f>29*AS196</f>
        <v>21.999400000000001</v>
      </c>
      <c r="AT199" s="16">
        <f>84*AT196</f>
        <v>74.004000000000005</v>
      </c>
      <c r="AU199" s="19">
        <f>169*AU196</f>
        <v>150.0044</v>
      </c>
      <c r="AV199" s="16">
        <f>123*AV196</f>
        <v>106.0014</v>
      </c>
      <c r="AW199" s="35">
        <f t="shared" si="69"/>
        <v>84.201359999999994</v>
      </c>
      <c r="AX199" s="43"/>
    </row>
    <row r="200" spans="1:56">
      <c r="A200" s="79"/>
      <c r="B200" s="16" t="s">
        <v>52</v>
      </c>
      <c r="C200" s="16">
        <f>((1-C197)*C199)/C197</f>
        <v>5.9997913043478235</v>
      </c>
      <c r="D200" s="16">
        <f t="shared" ref="D200:G200" si="77">((1-D197)*D199)/D197</f>
        <v>7.9992319957761318</v>
      </c>
      <c r="E200" s="16">
        <f t="shared" si="77"/>
        <v>2.0001154842689681</v>
      </c>
      <c r="F200" s="16">
        <f t="shared" si="77"/>
        <v>53.988756928213689</v>
      </c>
      <c r="G200" s="16">
        <f t="shared" si="77"/>
        <v>38.993325381548203</v>
      </c>
      <c r="N200" s="27">
        <v>0.91669999999999996</v>
      </c>
      <c r="O200" s="27">
        <v>0.89610000000000001</v>
      </c>
      <c r="P200" s="30">
        <v>0.997</v>
      </c>
      <c r="Q200" s="27">
        <v>0.95169999999999999</v>
      </c>
      <c r="R200" s="27">
        <v>0.95509999999999995</v>
      </c>
      <c r="S200" s="58">
        <f t="shared" si="70"/>
        <v>0.94331999999999994</v>
      </c>
      <c r="T200" s="43">
        <f>S200-S199</f>
        <v>-4.1200000000000125E-3</v>
      </c>
      <c r="U200" s="27">
        <v>0.94330000000000003</v>
      </c>
      <c r="V200" s="43">
        <f>U200-U199</f>
        <v>-4.0999999999999925E-3</v>
      </c>
      <c r="Z200" s="18"/>
      <c r="AA200" s="16" t="s">
        <v>52</v>
      </c>
      <c r="AB200" s="16">
        <f>((1-AB197)*AB199)/AB197</f>
        <v>3.0023999999999975</v>
      </c>
      <c r="AC200" s="16">
        <f t="shared" ref="AC200:AF200" si="78">((1-AC197)*AC199)/AC197</f>
        <v>3.9999779130647091</v>
      </c>
      <c r="AD200" s="16">
        <f t="shared" si="78"/>
        <v>5.001017615031496</v>
      </c>
      <c r="AE200" s="16">
        <f t="shared" si="78"/>
        <v>31.996887415757858</v>
      </c>
      <c r="AF200" s="16">
        <f t="shared" si="78"/>
        <v>38.003025821278889</v>
      </c>
      <c r="AG200" s="16">
        <f t="shared" si="68"/>
        <v>16.40066175302659</v>
      </c>
      <c r="AH200" s="43"/>
      <c r="AP200" s="18"/>
      <c r="AQ200" s="16" t="s">
        <v>52</v>
      </c>
      <c r="AR200" s="16">
        <f>((1-AR197)*AR199)/AR197</f>
        <v>6.9993159599074755</v>
      </c>
      <c r="AS200" s="16">
        <f>((1-AS197)*AS199)/AS197</f>
        <v>10.004382368344487</v>
      </c>
      <c r="AT200" s="16">
        <f t="shared" ref="AT200:AV200" si="79">((1-AT197)*AT199)/AT197</f>
        <v>30.007243851018973</v>
      </c>
      <c r="AU200" s="16">
        <f t="shared" si="79"/>
        <v>82.994046722584642</v>
      </c>
      <c r="AV200" s="16">
        <f t="shared" si="79"/>
        <v>69.0050388311045</v>
      </c>
      <c r="AW200" s="35">
        <f t="shared" si="69"/>
        <v>39.802005546592021</v>
      </c>
      <c r="AX200" s="43"/>
    </row>
    <row r="201" spans="1:56">
      <c r="A201" s="79"/>
      <c r="B201" s="16" t="s">
        <v>53</v>
      </c>
      <c r="C201" s="16">
        <f>144-72</f>
        <v>72</v>
      </c>
      <c r="D201" s="16">
        <f>106-29</f>
        <v>77</v>
      </c>
      <c r="E201" s="16">
        <f>742-84</f>
        <v>658</v>
      </c>
      <c r="F201" s="16">
        <f>1288-169</f>
        <v>1119</v>
      </c>
      <c r="G201" s="16">
        <f>991-123</f>
        <v>868</v>
      </c>
      <c r="H201" s="16" t="s">
        <v>58</v>
      </c>
      <c r="I201" s="16">
        <f>C201-C200</f>
        <v>66.000208695652177</v>
      </c>
      <c r="J201" s="16">
        <f>D201-D200</f>
        <v>69.000768004223872</v>
      </c>
      <c r="K201" s="16">
        <f>E201-E200</f>
        <v>655.99988451573108</v>
      </c>
      <c r="L201" s="16">
        <f>F201-F200</f>
        <v>1065.0112430717863</v>
      </c>
      <c r="M201" s="16">
        <f>G201-G200</f>
        <v>829.00667461845183</v>
      </c>
      <c r="N201" s="26">
        <v>0.93059999999999998</v>
      </c>
      <c r="O201" s="28">
        <v>0.97399999999999998</v>
      </c>
      <c r="P201" s="26">
        <v>0.99390000000000001</v>
      </c>
      <c r="Q201" s="26">
        <v>0.98480000000000001</v>
      </c>
      <c r="R201" s="26">
        <v>0.96540000000000004</v>
      </c>
      <c r="S201" s="58">
        <f t="shared" si="70"/>
        <v>0.96974000000000005</v>
      </c>
      <c r="T201" s="43">
        <f>S201-S199</f>
        <v>2.2300000000000098E-2</v>
      </c>
      <c r="U201" s="26">
        <v>0.96970000000000001</v>
      </c>
      <c r="V201" s="43">
        <f>U201-U199</f>
        <v>2.2299999999999986E-2</v>
      </c>
      <c r="Z201" s="18"/>
      <c r="AA201" s="16" t="s">
        <v>53</v>
      </c>
      <c r="AB201" s="16">
        <f>144-72</f>
        <v>72</v>
      </c>
      <c r="AC201" s="16">
        <f>106-29</f>
        <v>77</v>
      </c>
      <c r="AD201" s="16">
        <f>742-84</f>
        <v>658</v>
      </c>
      <c r="AE201" s="16">
        <f>1288-169</f>
        <v>1119</v>
      </c>
      <c r="AF201" s="16">
        <f>991-123</f>
        <v>868</v>
      </c>
      <c r="AG201" s="16">
        <f t="shared" si="68"/>
        <v>558.79999999999995</v>
      </c>
      <c r="AH201" s="43"/>
      <c r="AI201" s="16" t="s">
        <v>58</v>
      </c>
      <c r="AJ201" s="23">
        <f>AB201-AB200</f>
        <v>68.997600000000006</v>
      </c>
      <c r="AK201" s="23">
        <f>AC201-AC200</f>
        <v>73.000022086935289</v>
      </c>
      <c r="AL201" s="16">
        <f>AD201-AD200</f>
        <v>652.99898238496849</v>
      </c>
      <c r="AM201" s="16">
        <f>AE201-AE200</f>
        <v>1087.0031125842422</v>
      </c>
      <c r="AN201" s="16">
        <f>AF201-AF200</f>
        <v>829.99697417872108</v>
      </c>
      <c r="AP201" s="18"/>
      <c r="AQ201" s="16" t="s">
        <v>53</v>
      </c>
      <c r="AR201" s="16">
        <f>144-72</f>
        <v>72</v>
      </c>
      <c r="AS201" s="16">
        <f>106-29</f>
        <v>77</v>
      </c>
      <c r="AT201" s="16">
        <f>742-84</f>
        <v>658</v>
      </c>
      <c r="AU201" s="16">
        <f>1288-169</f>
        <v>1119</v>
      </c>
      <c r="AV201" s="16">
        <f>991-123</f>
        <v>868</v>
      </c>
      <c r="AW201" s="35">
        <f t="shared" si="69"/>
        <v>558.79999999999995</v>
      </c>
      <c r="AX201" s="43"/>
      <c r="AY201" s="16" t="s">
        <v>58</v>
      </c>
      <c r="AZ201" s="23">
        <f>AR201-AR200</f>
        <v>65.000684040092523</v>
      </c>
      <c r="BA201" s="23">
        <f>AS201-AS200</f>
        <v>66.995617631655506</v>
      </c>
      <c r="BB201" s="16">
        <f>AT201-AT200</f>
        <v>627.99275614898102</v>
      </c>
      <c r="BC201" s="16">
        <f>AU201-AU200</f>
        <v>1036.0059532774153</v>
      </c>
      <c r="BD201" s="16">
        <f>AV201-AV200</f>
        <v>798.99496116889554</v>
      </c>
    </row>
    <row r="202" spans="1:56">
      <c r="A202" s="79"/>
      <c r="B202" s="16" t="s">
        <v>54</v>
      </c>
      <c r="C202" s="16">
        <f>(1-C196)*C199/C196</f>
        <v>3.0023999999999975</v>
      </c>
      <c r="D202" s="16">
        <f t="shared" ref="D202:G202" si="80">(1-D196)*D199/D196</f>
        <v>3.9991000000000008</v>
      </c>
      <c r="E202" s="16">
        <f t="shared" si="80"/>
        <v>13.003200000000005</v>
      </c>
      <c r="F202" s="16">
        <f t="shared" si="80"/>
        <v>30.994600000000005</v>
      </c>
      <c r="G202" s="16">
        <f t="shared" si="80"/>
        <v>19.003499999999995</v>
      </c>
      <c r="I202" s="22"/>
      <c r="N202" s="30">
        <v>0.95820000000000005</v>
      </c>
      <c r="O202" s="27">
        <v>0.89610000000000001</v>
      </c>
      <c r="P202" s="30">
        <v>0.997</v>
      </c>
      <c r="Q202" s="27">
        <v>0.95889999999999997</v>
      </c>
      <c r="R202" s="27">
        <v>0.95509999999999995</v>
      </c>
      <c r="S202" s="58">
        <f t="shared" si="70"/>
        <v>0.95306000000000002</v>
      </c>
      <c r="T202" s="43">
        <f>S202-S199</f>
        <v>5.6200000000000694E-3</v>
      </c>
      <c r="U202" s="27">
        <v>0.95309999999999995</v>
      </c>
      <c r="V202" s="43">
        <f>U202-U199</f>
        <v>5.6999999999999273E-3</v>
      </c>
      <c r="Z202" s="18"/>
      <c r="AA202" s="16" t="s">
        <v>54</v>
      </c>
      <c r="AB202" s="16">
        <f>(1-AB196)*AB199/AB196</f>
        <v>3.0023999999999975</v>
      </c>
      <c r="AC202" s="16">
        <f t="shared" ref="AC202:AF202" si="81">(1-AC196)*AC199/AC196</f>
        <v>6.0000999999999998</v>
      </c>
      <c r="AD202" s="16">
        <f t="shared" si="81"/>
        <v>9.9960000000000004</v>
      </c>
      <c r="AE202" s="16">
        <f t="shared" si="81"/>
        <v>27.00620000000001</v>
      </c>
      <c r="AF202" s="16">
        <f t="shared" si="81"/>
        <v>15.005999999999998</v>
      </c>
      <c r="AG202" s="16">
        <f t="shared" si="68"/>
        <v>12.202140000000004</v>
      </c>
      <c r="AH202" s="43"/>
      <c r="AP202" s="18"/>
      <c r="AQ202" s="16" t="s">
        <v>54</v>
      </c>
      <c r="AR202" s="16">
        <f>(1-AR196)*AR199/AR196</f>
        <v>3.0023999999999975</v>
      </c>
      <c r="AS202" s="16">
        <f>(1-AS196)*AS199/AS196</f>
        <v>7.0005999999999986</v>
      </c>
      <c r="AT202" s="16">
        <f t="shared" ref="AT202:AV202" si="82">(1-AT196)*AT199/AT196</f>
        <v>9.9960000000000004</v>
      </c>
      <c r="AU202" s="16">
        <f t="shared" si="82"/>
        <v>18.995600000000014</v>
      </c>
      <c r="AV202" s="16">
        <f t="shared" si="82"/>
        <v>16.9986</v>
      </c>
      <c r="AW202" s="35">
        <f t="shared" si="69"/>
        <v>11.198640000000001</v>
      </c>
      <c r="AX202" s="43"/>
    </row>
    <row r="203" spans="1:56" ht="16.5" thickBot="1">
      <c r="A203" s="79"/>
      <c r="B203" s="16" t="s">
        <v>55</v>
      </c>
      <c r="C203" s="16">
        <v>0.87580000000000002</v>
      </c>
      <c r="D203" s="16">
        <v>0.73</v>
      </c>
      <c r="E203" s="16">
        <v>0.89600000000000002</v>
      </c>
      <c r="F203" s="16">
        <v>0.72829999999999995</v>
      </c>
      <c r="G203" s="16">
        <v>0.75119999999999998</v>
      </c>
      <c r="I203" s="22"/>
      <c r="N203" s="42">
        <v>0.94440000000000002</v>
      </c>
      <c r="O203" s="41">
        <v>0.97399999999999998</v>
      </c>
      <c r="P203" s="41">
        <v>0.997</v>
      </c>
      <c r="Q203" s="41">
        <v>0.98660000000000003</v>
      </c>
      <c r="R203" s="42">
        <v>0.97</v>
      </c>
      <c r="S203" s="58">
        <f t="shared" si="70"/>
        <v>0.97439999999999993</v>
      </c>
      <c r="T203" s="43">
        <f>S203-S199</f>
        <v>2.6959999999999984E-2</v>
      </c>
      <c r="U203" s="41">
        <v>0.97440000000000004</v>
      </c>
      <c r="V203" s="43">
        <f>U203-U199</f>
        <v>2.7000000000000024E-2</v>
      </c>
      <c r="Z203" s="18"/>
      <c r="AA203" s="16" t="s">
        <v>55</v>
      </c>
      <c r="AB203" s="16">
        <v>0.91669999999999996</v>
      </c>
      <c r="AC203" s="19">
        <f>(AC199*AK201-AC200*AC202)/(POWER(((AC199+AC200)*(AC199+AC202)*(AK201+AC200)*(AK201+AC202)),0.5))</f>
        <v>0.75832784418627197</v>
      </c>
      <c r="AD203" s="16">
        <v>0.8972</v>
      </c>
      <c r="AE203" s="16">
        <v>0.80169999999999997</v>
      </c>
      <c r="AF203" s="16">
        <v>0.77610000000000001</v>
      </c>
      <c r="AG203" s="16">
        <f t="shared" si="68"/>
        <v>0.83000556883725429</v>
      </c>
      <c r="AH203" s="43">
        <f t="shared" si="75"/>
        <v>3.2365568837254277E-2</v>
      </c>
      <c r="AP203" s="18"/>
      <c r="AQ203" s="16" t="s">
        <v>55</v>
      </c>
      <c r="AR203" s="16">
        <v>0.86240000000000006</v>
      </c>
      <c r="AS203" s="19">
        <f>(AS199*BA201-AS200*AS202)/(POWER(((AS199+AS200)*(AS199+AS202)*(BA201+AS200)*(BA201+AS202)),0.5))</f>
        <v>0.61046915506744326</v>
      </c>
      <c r="AT203" s="16">
        <v>0.76239999999999997</v>
      </c>
      <c r="AU203" s="16">
        <v>0.71340000000000003</v>
      </c>
      <c r="AV203" s="16">
        <v>0.6764</v>
      </c>
      <c r="AW203" s="35">
        <f t="shared" si="69"/>
        <v>0.7250138310134886</v>
      </c>
      <c r="AX203" s="43">
        <f t="shared" si="76"/>
        <v>3.60738310134886E-2</v>
      </c>
    </row>
    <row r="204" spans="1:56">
      <c r="A204" s="79"/>
      <c r="B204" s="16" t="s">
        <v>56</v>
      </c>
      <c r="C204" s="16">
        <v>0.9375</v>
      </c>
      <c r="D204" s="16">
        <v>0.87909999999999999</v>
      </c>
      <c r="E204" s="16">
        <v>0.92110000000000003</v>
      </c>
      <c r="F204" s="16">
        <v>0.8841</v>
      </c>
      <c r="G204" s="16">
        <v>0.90029999999999999</v>
      </c>
      <c r="I204" s="22"/>
      <c r="N204" s="26">
        <v>0.87580000000000002</v>
      </c>
      <c r="O204" s="26">
        <v>0.72199999999999998</v>
      </c>
      <c r="P204" s="26">
        <v>0.83130000000000004</v>
      </c>
      <c r="Q204" s="26">
        <v>0.70809999999999995</v>
      </c>
      <c r="R204" s="26">
        <v>0.78649999999999998</v>
      </c>
      <c r="S204" s="58">
        <f t="shared" si="70"/>
        <v>0.78473999999999999</v>
      </c>
      <c r="T204" s="43"/>
      <c r="U204" s="26">
        <v>0.78469999999999995</v>
      </c>
      <c r="V204" s="43"/>
      <c r="Z204" s="18"/>
      <c r="AA204" s="16" t="s">
        <v>56</v>
      </c>
      <c r="AB204" s="16">
        <v>0.95830000000000004</v>
      </c>
      <c r="AC204" s="19">
        <f t="shared" ref="AC204" si="83">(AC196*(1-AC198))/2+(AC196+1)*AC198/2</f>
        <v>0.87057611744763164</v>
      </c>
      <c r="AD204" s="16">
        <v>0.93669999999999998</v>
      </c>
      <c r="AE204" s="16">
        <v>0.90580000000000005</v>
      </c>
      <c r="AF204" s="16">
        <v>0.91710000000000003</v>
      </c>
      <c r="AG204" s="16">
        <f t="shared" si="68"/>
        <v>0.91769522348952637</v>
      </c>
      <c r="AH204" s="43">
        <f t="shared" si="75"/>
        <v>4.8352234895263635E-3</v>
      </c>
      <c r="AP204" s="18"/>
      <c r="AQ204" s="16" t="s">
        <v>56</v>
      </c>
      <c r="AR204" s="16">
        <v>0.93059999999999998</v>
      </c>
      <c r="AS204" s="19">
        <f t="shared" ref="AS204" si="84">(AS196*(1-AS198))/2+(AS196+1)*AS198/2</f>
        <v>0.83384999999999998</v>
      </c>
      <c r="AT204" s="16">
        <v>0.91769999999999996</v>
      </c>
      <c r="AU204" s="16">
        <v>0.90669999999999995</v>
      </c>
      <c r="AV204" s="16">
        <v>0.8911</v>
      </c>
      <c r="AW204" s="35">
        <f t="shared" si="69"/>
        <v>0.89598999999999995</v>
      </c>
      <c r="AX204" s="43">
        <f t="shared" si="76"/>
        <v>1.2769999999999948E-2</v>
      </c>
    </row>
    <row r="205" spans="1:56">
      <c r="A205" s="80"/>
      <c r="B205" s="16" t="s">
        <v>57</v>
      </c>
      <c r="C205" s="16">
        <v>0.9375</v>
      </c>
      <c r="D205" s="16">
        <v>0.88680000000000003</v>
      </c>
      <c r="E205" s="16">
        <v>0.9798</v>
      </c>
      <c r="F205" s="16">
        <v>0.93400000000000005</v>
      </c>
      <c r="G205" s="16">
        <v>0.9415</v>
      </c>
      <c r="I205" s="22"/>
      <c r="N205" s="27">
        <v>0.87580000000000002</v>
      </c>
      <c r="O205" s="27">
        <v>0.73</v>
      </c>
      <c r="P205" s="27">
        <v>0.89600000000000002</v>
      </c>
      <c r="Q205" s="27">
        <v>0.72829999999999995</v>
      </c>
      <c r="R205" s="27">
        <v>0.75119999999999998</v>
      </c>
      <c r="S205" s="58">
        <f t="shared" si="70"/>
        <v>0.79625999999999997</v>
      </c>
      <c r="T205" s="43">
        <f>S205-S204</f>
        <v>1.1519999999999975E-2</v>
      </c>
      <c r="U205" s="27">
        <v>0.79620000000000002</v>
      </c>
      <c r="V205" s="43">
        <f>U205-U204</f>
        <v>1.1500000000000066E-2</v>
      </c>
      <c r="Z205" s="18"/>
      <c r="AA205" s="16" t="s">
        <v>57</v>
      </c>
      <c r="AB205" s="16">
        <v>0.95830000000000004</v>
      </c>
      <c r="AC205" s="19">
        <f t="shared" ref="AC205" si="85">(AC199+AK201)/(AC199+AC200+AC202+AK201)</f>
        <v>0.90565964232957819</v>
      </c>
      <c r="AD205" s="16">
        <v>0.9798</v>
      </c>
      <c r="AE205" s="16">
        <v>0.95420000000000005</v>
      </c>
      <c r="AF205" s="16">
        <v>0.94650000000000001</v>
      </c>
      <c r="AG205" s="16">
        <f t="shared" si="68"/>
        <v>0.94889192846591575</v>
      </c>
      <c r="AH205" s="43">
        <f t="shared" si="75"/>
        <v>1.1911928465915822E-2</v>
      </c>
      <c r="AP205" s="18"/>
      <c r="AQ205" s="16" t="s">
        <v>57</v>
      </c>
      <c r="AR205" s="16">
        <v>0.93059999999999998</v>
      </c>
      <c r="AS205" s="19">
        <f t="shared" ref="AS205" si="86">(AS199+BA201)/(AS199+AS200+AS202+BA201)</f>
        <v>0.83957563803448598</v>
      </c>
      <c r="AT205" s="16">
        <v>0.94610000000000005</v>
      </c>
      <c r="AU205" s="16">
        <v>0.92069999999999996</v>
      </c>
      <c r="AV205" s="16">
        <v>0.91320000000000001</v>
      </c>
      <c r="AW205" s="35">
        <f t="shared" si="69"/>
        <v>0.9100351276068972</v>
      </c>
      <c r="AX205" s="43">
        <f t="shared" si="76"/>
        <v>2.1335127606897153E-2</v>
      </c>
    </row>
    <row r="206" spans="1:56" ht="15.6" customHeight="1">
      <c r="A206" s="78" t="s">
        <v>60</v>
      </c>
      <c r="B206" s="24" t="s">
        <v>1</v>
      </c>
      <c r="C206" s="24">
        <v>0.94520000000000004</v>
      </c>
      <c r="D206" s="24">
        <v>0.83020000000000005</v>
      </c>
      <c r="E206" s="24">
        <v>0.9</v>
      </c>
      <c r="F206" s="24">
        <v>0.83020000000000005</v>
      </c>
      <c r="G206" s="24">
        <v>0.82310000000000005</v>
      </c>
      <c r="I206" s="22"/>
      <c r="N206" s="26">
        <v>0.88919999999999999</v>
      </c>
      <c r="O206" s="26">
        <v>0.78039999999999998</v>
      </c>
      <c r="P206" s="26">
        <v>0.88929999999999998</v>
      </c>
      <c r="Q206" s="26">
        <v>0.80840000000000001</v>
      </c>
      <c r="R206" s="26">
        <v>0.79800000000000004</v>
      </c>
      <c r="S206" s="58">
        <f t="shared" si="70"/>
        <v>0.83306000000000002</v>
      </c>
      <c r="T206" s="43">
        <f>S206-S204</f>
        <v>4.832000000000003E-2</v>
      </c>
      <c r="U206" s="26">
        <v>0.83299999999999996</v>
      </c>
      <c r="V206" s="43">
        <f>U206-U204</f>
        <v>4.830000000000001E-2</v>
      </c>
      <c r="Z206" s="82" t="s">
        <v>69</v>
      </c>
      <c r="AA206" s="24" t="s">
        <v>1</v>
      </c>
      <c r="AB206" s="46">
        <v>0.95240000000000002</v>
      </c>
      <c r="AC206" s="24">
        <v>0.81359999999999999</v>
      </c>
      <c r="AD206" s="24">
        <v>0.8982</v>
      </c>
      <c r="AE206" s="24">
        <v>0.75139999999999996</v>
      </c>
      <c r="AF206" s="24">
        <v>0.80610000000000004</v>
      </c>
      <c r="AG206" s="19">
        <f t="shared" ref="AG206:AG227" si="87">AVERAGE(AB206:AF206)</f>
        <v>0.84434000000000009</v>
      </c>
      <c r="AH206" s="48">
        <f>AG206-AG184</f>
        <v>5.8000000000000274E-3</v>
      </c>
      <c r="AP206" s="82" t="s">
        <v>74</v>
      </c>
      <c r="AQ206" s="24" t="s">
        <v>1</v>
      </c>
      <c r="AR206" s="36">
        <v>0.92620000000000002</v>
      </c>
      <c r="AS206" s="24">
        <v>0.72</v>
      </c>
      <c r="AT206" s="38">
        <v>0.73680000000000001</v>
      </c>
      <c r="AU206" s="38">
        <v>0.72330000000000005</v>
      </c>
      <c r="AV206" s="24">
        <v>0.67730000000000001</v>
      </c>
      <c r="AW206" s="35">
        <f t="shared" si="69"/>
        <v>0.75671999999999995</v>
      </c>
      <c r="AX206" s="43">
        <f>AW206-AW184</f>
        <v>8.9519443046203184E-3</v>
      </c>
    </row>
    <row r="207" spans="1:56">
      <c r="A207" s="79"/>
      <c r="B207" s="16" t="s">
        <v>2</v>
      </c>
      <c r="C207" s="16">
        <v>0.95830000000000004</v>
      </c>
      <c r="D207" s="16">
        <v>0.75860000000000005</v>
      </c>
      <c r="E207" s="16">
        <v>0.85709999999999997</v>
      </c>
      <c r="F207" s="16">
        <v>0.78110000000000002</v>
      </c>
      <c r="G207" s="16">
        <v>0.86990000000000001</v>
      </c>
      <c r="I207" s="22"/>
      <c r="N207" s="27">
        <v>0.88919999999999999</v>
      </c>
      <c r="O207" s="27">
        <v>0.75700000000000001</v>
      </c>
      <c r="P207" s="27">
        <v>0.89600000000000002</v>
      </c>
      <c r="Q207" s="27">
        <v>0.74009999999999998</v>
      </c>
      <c r="R207" s="27">
        <v>0.76749999999999996</v>
      </c>
      <c r="S207" s="58">
        <f t="shared" si="70"/>
        <v>0.8099599999999999</v>
      </c>
      <c r="T207" s="43">
        <f>S207-S204</f>
        <v>2.5219999999999909E-2</v>
      </c>
      <c r="U207" s="27">
        <v>0.80989999999999995</v>
      </c>
      <c r="V207" s="43">
        <f>U207-U204</f>
        <v>2.52E-2</v>
      </c>
      <c r="Z207" s="82"/>
      <c r="AA207" s="16" t="s">
        <v>2</v>
      </c>
      <c r="AB207" s="47">
        <v>0.97219999999999995</v>
      </c>
      <c r="AC207" s="19">
        <v>0.8276</v>
      </c>
      <c r="AD207" s="37">
        <v>0.89290000000000003</v>
      </c>
      <c r="AE207" s="19">
        <v>0.80469999999999997</v>
      </c>
      <c r="AF207" s="16">
        <v>0.86180000000000001</v>
      </c>
      <c r="AG207" s="19">
        <f t="shared" si="87"/>
        <v>0.87183999999999995</v>
      </c>
      <c r="AH207" s="48">
        <f>AG207-AG185</f>
        <v>-1.1780000000000013E-2</v>
      </c>
      <c r="AP207" s="82"/>
      <c r="AQ207" s="16" t="s">
        <v>2</v>
      </c>
      <c r="AR207" s="37">
        <v>0.95830000000000004</v>
      </c>
      <c r="AS207" s="16">
        <v>0.93100000000000005</v>
      </c>
      <c r="AT207" s="39">
        <v>0.91669999999999996</v>
      </c>
      <c r="AU207" s="39">
        <v>0.88170000000000004</v>
      </c>
      <c r="AV207" s="16">
        <v>0.86180000000000001</v>
      </c>
      <c r="AW207" s="35">
        <f t="shared" si="69"/>
        <v>0.90990000000000004</v>
      </c>
      <c r="AX207" s="43">
        <f>AW207-AW185</f>
        <v>1.3069822485207161E-2</v>
      </c>
    </row>
    <row r="208" spans="1:56" ht="16.5" thickBot="1">
      <c r="A208" s="79"/>
      <c r="B208" s="16" t="s">
        <v>47</v>
      </c>
      <c r="C208" s="16">
        <v>0.93240000000000001</v>
      </c>
      <c r="D208" s="16">
        <v>0.91669999999999996</v>
      </c>
      <c r="E208" s="16">
        <v>0.94740000000000002</v>
      </c>
      <c r="F208" s="16">
        <v>0.88590000000000002</v>
      </c>
      <c r="G208" s="16">
        <v>0.78100000000000003</v>
      </c>
      <c r="I208" s="22"/>
      <c r="N208" s="41">
        <v>0.90290000000000004</v>
      </c>
      <c r="O208" s="41">
        <v>0.8306</v>
      </c>
      <c r="P208" s="41">
        <v>0.90310000000000001</v>
      </c>
      <c r="Q208" s="41">
        <v>0.81120000000000003</v>
      </c>
      <c r="R208" s="41">
        <v>0.80720000000000003</v>
      </c>
      <c r="S208" s="58">
        <f t="shared" si="70"/>
        <v>0.85099999999999998</v>
      </c>
      <c r="T208" s="43">
        <f>S208-S204</f>
        <v>6.6259999999999986E-2</v>
      </c>
      <c r="U208" s="41">
        <v>0.85099999999999998</v>
      </c>
      <c r="V208" s="43">
        <f>U208-U204</f>
        <v>6.6300000000000026E-2</v>
      </c>
      <c r="Z208" s="82"/>
      <c r="AA208" s="16" t="s">
        <v>47</v>
      </c>
      <c r="AB208" s="47">
        <v>0.93330000000000002</v>
      </c>
      <c r="AC208" s="19">
        <v>0.8</v>
      </c>
      <c r="AD208" s="37">
        <v>0.90359999999999996</v>
      </c>
      <c r="AE208" s="19">
        <v>0.70469999999999999</v>
      </c>
      <c r="AF208" s="16">
        <v>0.7571</v>
      </c>
      <c r="AG208" s="19">
        <f t="shared" si="87"/>
        <v>0.81974000000000002</v>
      </c>
      <c r="AH208" s="48">
        <f t="shared" ref="AH208:AH216" si="88">AG208-AG186</f>
        <v>1.9260000000000055E-2</v>
      </c>
      <c r="AP208" s="82"/>
      <c r="AQ208" s="16" t="s">
        <v>47</v>
      </c>
      <c r="AR208" s="37">
        <v>0.89610000000000001</v>
      </c>
      <c r="AS208" s="16">
        <v>0.58699999999999997</v>
      </c>
      <c r="AT208" s="39">
        <v>0.61599999999999999</v>
      </c>
      <c r="AU208" s="39">
        <v>0.61319999999999997</v>
      </c>
      <c r="AV208" s="16">
        <v>0.55789999999999995</v>
      </c>
      <c r="AW208" s="35">
        <f t="shared" si="69"/>
        <v>0.65403999999999995</v>
      </c>
      <c r="AX208" s="43">
        <f t="shared" ref="AX208:AX216" si="89">AW208-AW186</f>
        <v>5.3999999999999604E-3</v>
      </c>
    </row>
    <row r="209" spans="1:56">
      <c r="A209" s="79"/>
      <c r="B209" s="16" t="s">
        <v>48</v>
      </c>
      <c r="C209" s="16">
        <f>1-0.0694</f>
        <v>0.93059999999999998</v>
      </c>
      <c r="D209" s="16">
        <f>1-0.026</f>
        <v>0.97399999999999998</v>
      </c>
      <c r="E209" s="16">
        <f>1-0.0061</f>
        <v>0.99390000000000001</v>
      </c>
      <c r="F209" s="16">
        <f>1-0.0152</f>
        <v>0.98480000000000001</v>
      </c>
      <c r="G209" s="16">
        <f>1-0.0346</f>
        <v>0.96540000000000004</v>
      </c>
      <c r="I209" s="22"/>
      <c r="N209" s="26">
        <v>0.9375</v>
      </c>
      <c r="O209" s="26">
        <v>0.86829999999999996</v>
      </c>
      <c r="P209" s="26">
        <v>0.91349999999999998</v>
      </c>
      <c r="Q209" s="26">
        <v>0.86270000000000002</v>
      </c>
      <c r="R209" s="26">
        <v>0.89329999999999998</v>
      </c>
      <c r="S209" s="58">
        <f t="shared" si="70"/>
        <v>0.89505999999999997</v>
      </c>
      <c r="T209" s="43"/>
      <c r="U209" s="26">
        <v>0.89490000000000003</v>
      </c>
      <c r="V209" s="43"/>
      <c r="Z209" s="82"/>
      <c r="AA209" s="16" t="s">
        <v>48</v>
      </c>
      <c r="AB209" s="16">
        <f>AJ212/AB212</f>
        <v>0.93051993999785709</v>
      </c>
      <c r="AC209" s="16">
        <f>AK212/AC212</f>
        <v>0.92207662337662333</v>
      </c>
      <c r="AD209" s="16">
        <f>AL212/AD212</f>
        <v>0.98783934333587631</v>
      </c>
      <c r="AE209" s="16">
        <f>AM212/AE212</f>
        <v>0.94907280049832643</v>
      </c>
      <c r="AF209" s="16">
        <f>AN212/AF212</f>
        <v>0.97926945937217835</v>
      </c>
      <c r="AG209" s="19">
        <f t="shared" si="87"/>
        <v>0.9537556333161723</v>
      </c>
      <c r="AH209" s="48">
        <f t="shared" si="88"/>
        <v>1.1647084371232186E-2</v>
      </c>
      <c r="AP209" s="82"/>
      <c r="AQ209" s="16" t="s">
        <v>48</v>
      </c>
      <c r="AR209" s="37">
        <f>1-0.1111</f>
        <v>0.88890000000000002</v>
      </c>
      <c r="AS209" s="16">
        <f>1-0.2468</f>
        <v>0.75319999999999998</v>
      </c>
      <c r="AT209" s="39">
        <f>1-0.0729</f>
        <v>0.92710000000000004</v>
      </c>
      <c r="AU209" s="39">
        <f>1-0.0841</f>
        <v>0.91590000000000005</v>
      </c>
      <c r="AV209" s="16">
        <f>1-0.0968</f>
        <v>0.9032</v>
      </c>
      <c r="AW209" s="35">
        <f t="shared" si="69"/>
        <v>0.87766000000000022</v>
      </c>
      <c r="AX209" s="43">
        <f t="shared" si="89"/>
        <v>3.2800000000001717E-3</v>
      </c>
    </row>
    <row r="210" spans="1:56">
      <c r="A210" s="79"/>
      <c r="B210" s="16" t="s">
        <v>51</v>
      </c>
      <c r="C210" s="16">
        <f>72*C207</f>
        <v>68.997600000000006</v>
      </c>
      <c r="D210" s="16">
        <f>29*D207</f>
        <v>21.999400000000001</v>
      </c>
      <c r="E210" s="16">
        <f>84*E207</f>
        <v>71.996399999999994</v>
      </c>
      <c r="F210" s="16">
        <f>169*F207</f>
        <v>132.0059</v>
      </c>
      <c r="G210" s="16">
        <f>123*G207</f>
        <v>106.99769999999999</v>
      </c>
      <c r="I210" s="22"/>
      <c r="N210" s="27">
        <v>0.9375</v>
      </c>
      <c r="O210" s="27">
        <v>0.87909999999999999</v>
      </c>
      <c r="P210" s="27">
        <v>0.92110000000000003</v>
      </c>
      <c r="Q210" s="30">
        <v>0.8841</v>
      </c>
      <c r="R210" s="27">
        <v>0.90029999999999999</v>
      </c>
      <c r="S210" s="58">
        <f t="shared" si="70"/>
        <v>0.90442</v>
      </c>
      <c r="T210" s="43">
        <f>S210-S209</f>
        <v>9.360000000000035E-3</v>
      </c>
      <c r="U210" s="26">
        <v>0.90439999999999998</v>
      </c>
      <c r="V210" s="43">
        <f>U210-U209</f>
        <v>9.4999999999999529E-3</v>
      </c>
      <c r="Z210" s="18"/>
      <c r="AA210" s="16" t="s">
        <v>51</v>
      </c>
      <c r="AB210" s="47">
        <f>72*AB207</f>
        <v>69.998400000000004</v>
      </c>
      <c r="AC210" s="19">
        <f>29*AC207</f>
        <v>24.000399999999999</v>
      </c>
      <c r="AD210" s="37">
        <f>84*AD207</f>
        <v>75.003600000000006</v>
      </c>
      <c r="AE210" s="19">
        <f>169*AE207</f>
        <v>135.99429999999998</v>
      </c>
      <c r="AF210" s="16">
        <f>123*AF207</f>
        <v>106.0014</v>
      </c>
      <c r="AG210" s="19">
        <f t="shared" si="87"/>
        <v>82.19962000000001</v>
      </c>
      <c r="AH210" s="48"/>
      <c r="AP210" s="18"/>
      <c r="AQ210" s="16" t="s">
        <v>51</v>
      </c>
      <c r="AR210" s="37">
        <f>72*AR207</f>
        <v>68.997600000000006</v>
      </c>
      <c r="AS210" s="16">
        <f>29*AS207</f>
        <v>26.999000000000002</v>
      </c>
      <c r="AT210" s="39">
        <f>84*AT207</f>
        <v>77.002799999999993</v>
      </c>
      <c r="AU210" s="39">
        <f>169*AU207</f>
        <v>149.00730000000001</v>
      </c>
      <c r="AV210" s="16">
        <f>123*AV207</f>
        <v>106.0014</v>
      </c>
      <c r="AW210" s="35">
        <f t="shared" si="69"/>
        <v>85.601619999999997</v>
      </c>
      <c r="AX210" s="43"/>
    </row>
    <row r="211" spans="1:56">
      <c r="A211" s="79"/>
      <c r="B211" s="16" t="s">
        <v>52</v>
      </c>
      <c r="C211" s="16">
        <f>((1-C208)*C210)/C208</f>
        <v>5.0023999999999997</v>
      </c>
      <c r="D211" s="16">
        <f t="shared" ref="D211:G211" si="90">((1-D208)*D210)/D208</f>
        <v>1.9990727828078991</v>
      </c>
      <c r="E211" s="16">
        <f t="shared" si="90"/>
        <v>3.997266877770739</v>
      </c>
      <c r="F211" s="16">
        <f t="shared" si="90"/>
        <v>17.001775809910821</v>
      </c>
      <c r="G211" s="16">
        <f t="shared" si="90"/>
        <v>30.003196286811775</v>
      </c>
      <c r="I211" s="22"/>
      <c r="N211" s="26">
        <v>0.94440000000000002</v>
      </c>
      <c r="O211" s="26">
        <v>0.86629999999999996</v>
      </c>
      <c r="P211" s="26">
        <v>0.92549999999999999</v>
      </c>
      <c r="Q211" s="26">
        <v>0.88290000000000002</v>
      </c>
      <c r="R211" s="28">
        <v>0.91769999999999996</v>
      </c>
      <c r="S211" s="58">
        <f t="shared" si="70"/>
        <v>0.90736000000000006</v>
      </c>
      <c r="T211" s="43">
        <f>S211-S209</f>
        <v>1.2300000000000089E-2</v>
      </c>
      <c r="U211" s="26">
        <v>0.9073</v>
      </c>
      <c r="V211" s="43">
        <f>U211-U209</f>
        <v>1.2399999999999967E-2</v>
      </c>
      <c r="Z211" s="18"/>
      <c r="AA211" s="16" t="s">
        <v>52</v>
      </c>
      <c r="AB211" s="47">
        <f>((1-AB208)*AB210)/AB208</f>
        <v>5.0025643201542902</v>
      </c>
      <c r="AC211" s="19">
        <f t="shared" ref="AC211:AE211" si="91">((1-AC208)*AC210)/AC208</f>
        <v>6.000099999999998</v>
      </c>
      <c r="AD211" s="37">
        <f t="shared" si="91"/>
        <v>8.0017120849933647</v>
      </c>
      <c r="AE211" s="19">
        <f t="shared" si="91"/>
        <v>56.987536242372641</v>
      </c>
      <c r="AF211" s="16">
        <f>((1-AF208)*AF210)/AF208</f>
        <v>34.008374138158764</v>
      </c>
      <c r="AG211" s="19">
        <f t="shared" si="87"/>
        <v>22.000057357135812</v>
      </c>
      <c r="AH211" s="48"/>
      <c r="AP211" s="18"/>
      <c r="AQ211" s="16" t="s">
        <v>52</v>
      </c>
      <c r="AR211" s="37">
        <f>((1-AR208)*AR210)/AR208</f>
        <v>8.000056511550051</v>
      </c>
      <c r="AS211" s="16">
        <f t="shared" ref="AS211:AV211" si="92">((1-AS208)*AS210)/AS208</f>
        <v>18.995889267461674</v>
      </c>
      <c r="AT211" s="39">
        <f t="shared" si="92"/>
        <v>48.00174545454545</v>
      </c>
      <c r="AU211" s="39">
        <f t="shared" si="92"/>
        <v>93.992210763209414</v>
      </c>
      <c r="AV211" s="16">
        <f t="shared" si="92"/>
        <v>83.999316974368185</v>
      </c>
      <c r="AW211" s="35">
        <f t="shared" si="69"/>
        <v>50.597843794226961</v>
      </c>
      <c r="AX211" s="43"/>
    </row>
    <row r="212" spans="1:56">
      <c r="A212" s="79"/>
      <c r="B212" s="16" t="s">
        <v>53</v>
      </c>
      <c r="C212" s="16">
        <f>144-72</f>
        <v>72</v>
      </c>
      <c r="D212" s="16">
        <f>106-29</f>
        <v>77</v>
      </c>
      <c r="E212" s="16">
        <f>742-84</f>
        <v>658</v>
      </c>
      <c r="F212" s="16">
        <f>1288-169</f>
        <v>1119</v>
      </c>
      <c r="G212" s="16">
        <f>991-123</f>
        <v>868</v>
      </c>
      <c r="H212" s="16" t="s">
        <v>58</v>
      </c>
      <c r="I212" s="16">
        <f>C212-C211</f>
        <v>66.997600000000006</v>
      </c>
      <c r="J212" s="16">
        <f>D212-D211</f>
        <v>75.0009272171921</v>
      </c>
      <c r="K212" s="16">
        <f>E212-E211</f>
        <v>654.0027331222293</v>
      </c>
      <c r="L212" s="16">
        <f>F212-F211</f>
        <v>1101.9982241900891</v>
      </c>
      <c r="M212" s="16">
        <f>G212-G211</f>
        <v>837.99680371318823</v>
      </c>
      <c r="N212" s="27">
        <v>0.94440000000000002</v>
      </c>
      <c r="O212" s="27">
        <v>0.89629999999999999</v>
      </c>
      <c r="P212" s="27">
        <v>0.92110000000000003</v>
      </c>
      <c r="Q212" s="27">
        <v>0.88180000000000003</v>
      </c>
      <c r="R212" s="27">
        <v>0.91249999999999998</v>
      </c>
      <c r="S212" s="58">
        <f t="shared" si="70"/>
        <v>0.91121999999999992</v>
      </c>
      <c r="T212" s="43">
        <f>S212-S209</f>
        <v>1.6159999999999952E-2</v>
      </c>
      <c r="U212" s="27">
        <v>0.91120000000000001</v>
      </c>
      <c r="V212" s="43">
        <f>U212-U209</f>
        <v>1.6299999999999981E-2</v>
      </c>
      <c r="Z212" s="18"/>
      <c r="AA212" s="16" t="s">
        <v>53</v>
      </c>
      <c r="AB212" s="47">
        <f>144-72</f>
        <v>72</v>
      </c>
      <c r="AC212" s="19">
        <f>106-29</f>
        <v>77</v>
      </c>
      <c r="AD212" s="37">
        <f>742-84</f>
        <v>658</v>
      </c>
      <c r="AE212" s="19">
        <f>1288-169</f>
        <v>1119</v>
      </c>
      <c r="AF212" s="16">
        <f>991-123</f>
        <v>868</v>
      </c>
      <c r="AG212" s="19">
        <f t="shared" si="87"/>
        <v>558.79999999999995</v>
      </c>
      <c r="AH212" s="48"/>
      <c r="AI212" s="16" t="s">
        <v>58</v>
      </c>
      <c r="AJ212" s="23">
        <f>AB212-AB211</f>
        <v>66.997435679845708</v>
      </c>
      <c r="AK212" s="23">
        <f>AC212-AC211</f>
        <v>70.999899999999997</v>
      </c>
      <c r="AL212" s="16">
        <f>AD212-AD211</f>
        <v>649.99828791500659</v>
      </c>
      <c r="AM212" s="16">
        <f>AE212-AE211</f>
        <v>1062.0124637576273</v>
      </c>
      <c r="AN212" s="16">
        <f>AF223-AF222</f>
        <v>850.0058907350508</v>
      </c>
      <c r="AP212" s="18"/>
      <c r="AQ212" s="16" t="s">
        <v>53</v>
      </c>
      <c r="AR212" s="37">
        <f>144-72</f>
        <v>72</v>
      </c>
      <c r="AS212" s="16">
        <f>106-29</f>
        <v>77</v>
      </c>
      <c r="AT212" s="39">
        <f>742-84</f>
        <v>658</v>
      </c>
      <c r="AU212" s="39">
        <f>1288-169</f>
        <v>1119</v>
      </c>
      <c r="AV212" s="16">
        <f>991-123</f>
        <v>868</v>
      </c>
      <c r="AW212" s="35">
        <f t="shared" si="69"/>
        <v>558.79999999999995</v>
      </c>
      <c r="AX212" s="43"/>
      <c r="AY212" s="16" t="s">
        <v>58</v>
      </c>
      <c r="AZ212" s="23">
        <f>AR212-AR211</f>
        <v>63.999943488449951</v>
      </c>
      <c r="BA212" s="23">
        <f>AS212-AS211</f>
        <v>58.004110732538322</v>
      </c>
      <c r="BB212" s="16">
        <f>AT212-AT211</f>
        <v>609.99825454545453</v>
      </c>
      <c r="BC212" s="16">
        <f>AU212-AU211</f>
        <v>1025.0077892367906</v>
      </c>
      <c r="BD212" s="16">
        <f>AV212-AV211</f>
        <v>784.00068302563182</v>
      </c>
    </row>
    <row r="213" spans="1:56" ht="16.5" thickBot="1">
      <c r="A213" s="79"/>
      <c r="B213" s="16" t="s">
        <v>54</v>
      </c>
      <c r="C213" s="16">
        <f>(1-C207)*C210/C207</f>
        <v>3.0023999999999975</v>
      </c>
      <c r="D213" s="16">
        <f t="shared" ref="D213:G213" si="93">(1-D207)*D210/D207</f>
        <v>7.0005999999999986</v>
      </c>
      <c r="E213" s="16">
        <f t="shared" si="93"/>
        <v>12.0036</v>
      </c>
      <c r="F213" s="16">
        <f t="shared" si="93"/>
        <v>36.994099999999996</v>
      </c>
      <c r="G213" s="16">
        <f t="shared" si="93"/>
        <v>16.002299999999998</v>
      </c>
      <c r="N213" s="41">
        <v>0.95140000000000002</v>
      </c>
      <c r="O213" s="41">
        <v>0.90080000000000005</v>
      </c>
      <c r="P213" s="41">
        <v>0.92710000000000004</v>
      </c>
      <c r="Q213" s="42">
        <v>0.88090000000000002</v>
      </c>
      <c r="R213" s="42">
        <v>0.91590000000000005</v>
      </c>
      <c r="S213" s="58">
        <f t="shared" si="70"/>
        <v>0.91522000000000003</v>
      </c>
      <c r="T213" s="43">
        <f>S213-S209</f>
        <v>2.0160000000000067E-2</v>
      </c>
      <c r="U213" s="41">
        <v>0.91520000000000001</v>
      </c>
      <c r="V213" s="43">
        <f>U213-U209</f>
        <v>2.0299999999999985E-2</v>
      </c>
      <c r="Z213" s="18"/>
      <c r="AA213" s="16" t="s">
        <v>54</v>
      </c>
      <c r="AB213" s="47">
        <f>(1-AB207)*AB210/AB207</f>
        <v>2.0016000000000034</v>
      </c>
      <c r="AC213" s="19">
        <f t="shared" ref="AC213:AE213" si="94">(1-AC207)*AC210/AC207</f>
        <v>4.9996</v>
      </c>
      <c r="AD213" s="37">
        <f t="shared" si="94"/>
        <v>8.9963999999999977</v>
      </c>
      <c r="AE213" s="19">
        <f t="shared" si="94"/>
        <v>33.005700000000004</v>
      </c>
      <c r="AF213" s="16">
        <f>(1-AF207)*AF210/AF207</f>
        <v>16.9986</v>
      </c>
      <c r="AG213" s="19">
        <f t="shared" si="87"/>
        <v>13.200380000000001</v>
      </c>
      <c r="AH213" s="48"/>
      <c r="AP213" s="18"/>
      <c r="AQ213" s="16" t="s">
        <v>54</v>
      </c>
      <c r="AR213" s="37">
        <f>(1-AR207)*AR210/AR207</f>
        <v>3.0023999999999975</v>
      </c>
      <c r="AS213" s="16">
        <f t="shared" ref="AS213:AV213" si="95">(1-AS207)*AS210/AS207</f>
        <v>2.0009999999999986</v>
      </c>
      <c r="AT213" s="39">
        <f t="shared" si="95"/>
        <v>6.997200000000003</v>
      </c>
      <c r="AU213" s="39">
        <f t="shared" si="95"/>
        <v>19.992699999999996</v>
      </c>
      <c r="AV213" s="16">
        <f t="shared" si="95"/>
        <v>16.9986</v>
      </c>
      <c r="AW213" s="35">
        <f t="shared" si="69"/>
        <v>9.7983799999999981</v>
      </c>
      <c r="AX213" s="43"/>
    </row>
    <row r="214" spans="1:56">
      <c r="A214" s="79"/>
      <c r="B214" s="16" t="s">
        <v>55</v>
      </c>
      <c r="C214" s="16">
        <v>0.88919999999999999</v>
      </c>
      <c r="D214" s="16">
        <v>0.78039999999999998</v>
      </c>
      <c r="E214" s="16">
        <v>0.88929999999999998</v>
      </c>
      <c r="F214" s="16">
        <v>0.80840000000000001</v>
      </c>
      <c r="G214" s="16">
        <v>0.79800000000000004</v>
      </c>
      <c r="N214" s="26">
        <v>0.9375</v>
      </c>
      <c r="O214" s="26">
        <v>0.88680000000000003</v>
      </c>
      <c r="P214" s="26">
        <v>0.96630000000000005</v>
      </c>
      <c r="Q214" s="26">
        <v>0.93159999999999998</v>
      </c>
      <c r="R214" s="26">
        <v>0.9536</v>
      </c>
      <c r="S214" s="58">
        <f t="shared" si="70"/>
        <v>0.93515999999999999</v>
      </c>
      <c r="T214" s="43"/>
      <c r="U214" s="26">
        <v>0.93510000000000004</v>
      </c>
      <c r="V214" s="43"/>
      <c r="Z214" s="18"/>
      <c r="AA214" s="16" t="s">
        <v>55</v>
      </c>
      <c r="AB214" s="47">
        <v>0.90359999999999996</v>
      </c>
      <c r="AC214" s="34">
        <v>0.7419</v>
      </c>
      <c r="AD214" s="37">
        <v>0.88529999999999998</v>
      </c>
      <c r="AE214" s="19">
        <v>0.71299999999999997</v>
      </c>
      <c r="AF214" s="16">
        <v>0.77869999999999995</v>
      </c>
      <c r="AG214" s="19">
        <f t="shared" si="87"/>
        <v>0.80449999999999999</v>
      </c>
      <c r="AH214" s="48">
        <f t="shared" si="88"/>
        <v>6.8599999999999772E-3</v>
      </c>
      <c r="AP214" s="18"/>
      <c r="AQ214" s="16" t="s">
        <v>55</v>
      </c>
      <c r="AR214" s="37">
        <v>0.84930000000000005</v>
      </c>
      <c r="AS214" s="29">
        <v>0.61550000000000005</v>
      </c>
      <c r="AT214" s="39">
        <v>0.71430000000000005</v>
      </c>
      <c r="AU214" s="44">
        <v>0.68830000000000002</v>
      </c>
      <c r="AV214" s="29">
        <v>0.64080000000000004</v>
      </c>
      <c r="AW214" s="35">
        <f t="shared" si="69"/>
        <v>0.70164000000000004</v>
      </c>
      <c r="AX214" s="43">
        <f t="shared" si="89"/>
        <v>1.2700000000000045E-2</v>
      </c>
    </row>
    <row r="215" spans="1:56">
      <c r="A215" s="79"/>
      <c r="B215" s="16" t="s">
        <v>56</v>
      </c>
      <c r="C215" s="16">
        <v>0.94440000000000002</v>
      </c>
      <c r="D215" s="16">
        <v>0.86629999999999996</v>
      </c>
      <c r="E215" s="16">
        <v>0.92549999999999999</v>
      </c>
      <c r="F215" s="16">
        <v>0.88290000000000002</v>
      </c>
      <c r="G215" s="16">
        <v>0.91769999999999996</v>
      </c>
      <c r="N215" s="27">
        <v>0.9375</v>
      </c>
      <c r="O215" s="27">
        <v>0.88680000000000003</v>
      </c>
      <c r="P215" s="27">
        <v>0.9798</v>
      </c>
      <c r="Q215" s="27">
        <v>0.93400000000000005</v>
      </c>
      <c r="R215" s="27">
        <v>0.9415</v>
      </c>
      <c r="S215" s="58">
        <f t="shared" si="70"/>
        <v>0.93592000000000009</v>
      </c>
      <c r="T215" s="43">
        <f>S215-S214</f>
        <v>7.6000000000009393E-4</v>
      </c>
      <c r="U215" s="27">
        <v>0.93589999999999995</v>
      </c>
      <c r="V215" s="43">
        <f>U215-U214</f>
        <v>7.9999999999991189E-4</v>
      </c>
      <c r="Z215" s="18"/>
      <c r="AA215" s="16" t="s">
        <v>56</v>
      </c>
      <c r="AB215" s="47">
        <v>0.95140000000000002</v>
      </c>
      <c r="AC215" s="34">
        <v>0.87480000000000002</v>
      </c>
      <c r="AD215" s="37">
        <v>0.94030000000000002</v>
      </c>
      <c r="AE215" s="19">
        <v>0.87690000000000001</v>
      </c>
      <c r="AF215" s="16">
        <v>0.9113</v>
      </c>
      <c r="AG215" s="19">
        <f t="shared" si="87"/>
        <v>0.91094000000000008</v>
      </c>
      <c r="AH215" s="48">
        <f t="shared" si="88"/>
        <v>-1.9199999999999218E-3</v>
      </c>
      <c r="AP215" s="18"/>
      <c r="AQ215" s="16" t="s">
        <v>56</v>
      </c>
      <c r="AR215" s="37">
        <v>0.92359999999999998</v>
      </c>
      <c r="AS215" s="29">
        <v>0.84209999999999996</v>
      </c>
      <c r="AT215" s="39">
        <v>0.92190000000000005</v>
      </c>
      <c r="AU215" s="44">
        <v>0.89880000000000004</v>
      </c>
      <c r="AV215" s="29">
        <v>0.88249999999999995</v>
      </c>
      <c r="AW215" s="35">
        <f t="shared" si="69"/>
        <v>0.89377999999999991</v>
      </c>
      <c r="AX215" s="43">
        <f t="shared" si="89"/>
        <v>1.0559999999999903E-2</v>
      </c>
    </row>
    <row r="216" spans="1:56">
      <c r="A216" s="80"/>
      <c r="B216" s="16" t="s">
        <v>57</v>
      </c>
      <c r="C216" s="16">
        <v>0.94440000000000002</v>
      </c>
      <c r="D216" s="16">
        <v>0.91510000000000002</v>
      </c>
      <c r="E216" s="16">
        <v>0.97840000000000005</v>
      </c>
      <c r="F216" s="16">
        <v>0.95799999999999996</v>
      </c>
      <c r="G216" s="16">
        <v>0.9536</v>
      </c>
      <c r="N216" s="26">
        <v>0.94440000000000002</v>
      </c>
      <c r="O216" s="26">
        <v>0.91510000000000002</v>
      </c>
      <c r="P216" s="26">
        <v>0.97840000000000005</v>
      </c>
      <c r="Q216" s="26">
        <v>0.95799999999999996</v>
      </c>
      <c r="R216" s="26">
        <v>0.9536</v>
      </c>
      <c r="S216" s="58">
        <f t="shared" si="70"/>
        <v>0.94990000000000008</v>
      </c>
      <c r="T216" s="43">
        <f>S216-S214</f>
        <v>1.4740000000000086E-2</v>
      </c>
      <c r="U216" s="26">
        <v>0.94989999999999997</v>
      </c>
      <c r="V216" s="43">
        <f>U216-U214</f>
        <v>1.4799999999999924E-2</v>
      </c>
      <c r="Z216" s="18"/>
      <c r="AA216" s="16" t="s">
        <v>57</v>
      </c>
      <c r="AB216" s="47">
        <v>0.95140000000000002</v>
      </c>
      <c r="AC216" s="34">
        <v>0.8962</v>
      </c>
      <c r="AD216" s="37">
        <v>0.97709999999999997</v>
      </c>
      <c r="AE216" s="19">
        <v>0.93010000000000004</v>
      </c>
      <c r="AF216" s="16">
        <v>0.94850000000000001</v>
      </c>
      <c r="AG216" s="19">
        <f t="shared" si="87"/>
        <v>0.94065999999999994</v>
      </c>
      <c r="AH216" s="48">
        <f t="shared" si="88"/>
        <v>3.6800000000000166E-3</v>
      </c>
      <c r="AP216" s="18"/>
      <c r="AQ216" s="16" t="s">
        <v>57</v>
      </c>
      <c r="AR216" s="37">
        <v>0.92359999999999998</v>
      </c>
      <c r="AS216" s="29">
        <v>0.80189999999999995</v>
      </c>
      <c r="AT216" s="39">
        <v>0.92589999999999995</v>
      </c>
      <c r="AU216" s="44">
        <v>0.91139999999999999</v>
      </c>
      <c r="AV216" s="29">
        <v>0.89810000000000001</v>
      </c>
      <c r="AW216" s="35">
        <f t="shared" si="69"/>
        <v>0.89217999999999997</v>
      </c>
      <c r="AX216" s="43">
        <f t="shared" si="89"/>
        <v>3.4799999999999276E-3</v>
      </c>
    </row>
    <row r="217" spans="1:56" ht="15.6" customHeight="1">
      <c r="A217" s="78" t="s">
        <v>61</v>
      </c>
      <c r="B217" s="24" t="s">
        <v>1</v>
      </c>
      <c r="C217" s="24">
        <v>0.94369999999999998</v>
      </c>
      <c r="D217" s="24">
        <v>0.82540000000000002</v>
      </c>
      <c r="E217" s="24">
        <v>0.90449999999999997</v>
      </c>
      <c r="F217" s="24">
        <v>0.77490000000000003</v>
      </c>
      <c r="G217" s="24">
        <v>0.79549999999999998</v>
      </c>
      <c r="N217" s="27">
        <v>0.94440000000000002</v>
      </c>
      <c r="O217" s="27">
        <v>0.8962</v>
      </c>
      <c r="P217" s="27">
        <v>0.9798</v>
      </c>
      <c r="Q217" s="27">
        <v>0.93859999999999999</v>
      </c>
      <c r="R217" s="27">
        <v>0.94450000000000001</v>
      </c>
      <c r="S217" s="58">
        <f t="shared" si="70"/>
        <v>0.94069999999999998</v>
      </c>
      <c r="T217" s="43">
        <f>S217-S214</f>
        <v>5.5399999999999894E-3</v>
      </c>
      <c r="U217" s="27">
        <v>0.94069999999999998</v>
      </c>
      <c r="V217" s="43">
        <f>U217-U214</f>
        <v>5.5999999999999384E-3</v>
      </c>
      <c r="Z217" s="82" t="s">
        <v>70</v>
      </c>
      <c r="AA217" s="24" t="s">
        <v>1</v>
      </c>
      <c r="AB217" s="24">
        <v>0.95889999999999997</v>
      </c>
      <c r="AC217" s="24">
        <v>0.8387</v>
      </c>
      <c r="AD217" s="24">
        <v>0.90800000000000003</v>
      </c>
      <c r="AE217" s="24">
        <v>0.82799999999999996</v>
      </c>
      <c r="AF217" s="24">
        <v>0.82499999999999996</v>
      </c>
      <c r="AG217" s="16">
        <f t="shared" si="87"/>
        <v>0.87172000000000005</v>
      </c>
      <c r="AH217" s="43">
        <f>AG217-AG184</f>
        <v>3.3179999999999987E-2</v>
      </c>
      <c r="AP217" s="82" t="s">
        <v>75</v>
      </c>
      <c r="AQ217" s="24" t="s">
        <v>1</v>
      </c>
      <c r="AR217" s="36">
        <v>0.93240000000000001</v>
      </c>
      <c r="AS217" s="24">
        <v>0.76060000000000005</v>
      </c>
      <c r="AT217" s="36">
        <v>0.78720000000000001</v>
      </c>
      <c r="AU217" s="24">
        <v>0.75309999999999999</v>
      </c>
      <c r="AV217" s="24">
        <v>0.73939999999999995</v>
      </c>
      <c r="AW217" s="35">
        <f t="shared" si="69"/>
        <v>0.79453999999999991</v>
      </c>
      <c r="AX217" s="43">
        <f>AW217-AW184</f>
        <v>4.6771944304620283E-2</v>
      </c>
    </row>
    <row r="218" spans="1:56" ht="16.5" thickBot="1">
      <c r="A218" s="79"/>
      <c r="B218" s="16" t="s">
        <v>2</v>
      </c>
      <c r="C218" s="16">
        <v>0.93059999999999998</v>
      </c>
      <c r="D218" s="16">
        <v>0.89659999999999995</v>
      </c>
      <c r="E218" s="16">
        <v>0.84519999999999995</v>
      </c>
      <c r="F218" s="16">
        <v>0.80469999999999997</v>
      </c>
      <c r="G218" s="16">
        <v>0.86990000000000001</v>
      </c>
      <c r="N218" s="41">
        <v>0.95140000000000002</v>
      </c>
      <c r="O218" s="41">
        <v>0.93400000000000005</v>
      </c>
      <c r="P218" s="41">
        <v>0.98109999999999997</v>
      </c>
      <c r="Q218" s="41">
        <v>0.95879999999999999</v>
      </c>
      <c r="R218" s="41">
        <v>0.95660000000000001</v>
      </c>
      <c r="S218" s="58">
        <f t="shared" si="70"/>
        <v>0.95638000000000001</v>
      </c>
      <c r="T218" s="43">
        <f>S218-S214</f>
        <v>2.1220000000000017E-2</v>
      </c>
      <c r="U218" s="41">
        <v>0.95640000000000003</v>
      </c>
      <c r="V218" s="43">
        <f>U218-U214</f>
        <v>2.1299999999999986E-2</v>
      </c>
      <c r="Z218" s="82"/>
      <c r="AA218" s="16" t="s">
        <v>2</v>
      </c>
      <c r="AB218" s="16">
        <v>0.97219999999999995</v>
      </c>
      <c r="AC218" s="16">
        <v>0.89659999999999995</v>
      </c>
      <c r="AD218" s="37">
        <v>0.88100000000000001</v>
      </c>
      <c r="AE218" s="37">
        <v>0.84019999999999995</v>
      </c>
      <c r="AF218" s="16">
        <v>0.80489999999999995</v>
      </c>
      <c r="AG218" s="16">
        <f t="shared" si="87"/>
        <v>0.87897999999999998</v>
      </c>
      <c r="AH218" s="43">
        <f t="shared" ref="AH218:AH227" si="96">AG218-AG185</f>
        <v>-4.6399999999999775E-3</v>
      </c>
      <c r="AP218" s="82"/>
      <c r="AQ218" s="16" t="s">
        <v>2</v>
      </c>
      <c r="AR218" s="37">
        <v>0.95830000000000004</v>
      </c>
      <c r="AS218" s="16">
        <v>0.93100000000000005</v>
      </c>
      <c r="AT218" s="37">
        <v>0.88100000000000001</v>
      </c>
      <c r="AU218" s="16">
        <v>0.89349999999999996</v>
      </c>
      <c r="AV218" s="16">
        <v>0.85370000000000001</v>
      </c>
      <c r="AW218" s="35">
        <f t="shared" si="69"/>
        <v>0.90349999999999997</v>
      </c>
      <c r="AX218" s="43">
        <f t="shared" ref="AX218:AX227" si="97">AW218-AW185</f>
        <v>6.6698224852070886E-3</v>
      </c>
    </row>
    <row r="219" spans="1:56">
      <c r="A219" s="79"/>
      <c r="B219" s="16" t="s">
        <v>47</v>
      </c>
      <c r="C219" s="16">
        <v>0.95709999999999995</v>
      </c>
      <c r="D219" s="16">
        <v>0.76470000000000005</v>
      </c>
      <c r="E219" s="16">
        <v>0.97260000000000002</v>
      </c>
      <c r="F219" s="16">
        <v>0.74729999999999996</v>
      </c>
      <c r="G219" s="16">
        <v>0.7329</v>
      </c>
      <c r="Z219" s="82"/>
      <c r="AA219" s="16" t="s">
        <v>47</v>
      </c>
      <c r="AB219" s="16">
        <v>0.94589999999999996</v>
      </c>
      <c r="AC219" s="16">
        <v>0.78790000000000004</v>
      </c>
      <c r="AD219" s="37">
        <v>0.93669999999999998</v>
      </c>
      <c r="AE219" s="37">
        <v>0.81610000000000005</v>
      </c>
      <c r="AF219" s="16">
        <v>0.84619999999999995</v>
      </c>
      <c r="AG219" s="16">
        <f t="shared" si="87"/>
        <v>0.86656</v>
      </c>
      <c r="AH219" s="43">
        <f t="shared" si="96"/>
        <v>6.6080000000000028E-2</v>
      </c>
      <c r="AP219" s="82"/>
      <c r="AQ219" s="16" t="s">
        <v>47</v>
      </c>
      <c r="AR219" s="37">
        <v>0.90790000000000004</v>
      </c>
      <c r="AS219" s="16">
        <v>0.64290000000000003</v>
      </c>
      <c r="AT219" s="37">
        <v>0.71150000000000002</v>
      </c>
      <c r="AU219" s="16">
        <v>0.65090000000000003</v>
      </c>
      <c r="AV219" s="16">
        <v>0.6522</v>
      </c>
      <c r="AW219" s="35">
        <f t="shared" si="69"/>
        <v>0.71308000000000005</v>
      </c>
      <c r="AX219" s="43">
        <f t="shared" si="97"/>
        <v>6.4440000000000053E-2</v>
      </c>
    </row>
    <row r="220" spans="1:56">
      <c r="A220" s="79"/>
      <c r="B220" s="16" t="s">
        <v>48</v>
      </c>
      <c r="C220" s="16">
        <f>I223/C223</f>
        <v>0.95828780691672755</v>
      </c>
      <c r="D220" s="16">
        <f>1-0.1039</f>
        <v>0.89610000000000001</v>
      </c>
      <c r="E220" s="16">
        <f>1-0.003</f>
        <v>0.997</v>
      </c>
      <c r="F220" s="16">
        <f>1-0.0411</f>
        <v>0.95889999999999997</v>
      </c>
      <c r="G220" s="16">
        <f>1-0.0449</f>
        <v>0.95509999999999995</v>
      </c>
      <c r="Z220" s="82"/>
      <c r="AA220" s="16" t="s">
        <v>48</v>
      </c>
      <c r="AB220" s="16">
        <f>1-0.0556</f>
        <v>0.94440000000000002</v>
      </c>
      <c r="AC220" s="16">
        <f>AK223/AC223</f>
        <v>0.90909755275819493</v>
      </c>
      <c r="AD220" s="16">
        <f>AL223/AD223</f>
        <v>0.99239966927806755</v>
      </c>
      <c r="AE220" s="16">
        <f>AM223/AE223</f>
        <v>0.97140582000379105</v>
      </c>
      <c r="AF220" s="16">
        <f>AN223/AF223</f>
        <v>0.96081984546295074</v>
      </c>
      <c r="AG220" s="16">
        <f t="shared" si="87"/>
        <v>0.95562457750060081</v>
      </c>
      <c r="AH220" s="43">
        <f t="shared" si="96"/>
        <v>1.3516028555660697E-2</v>
      </c>
      <c r="AP220" s="82"/>
      <c r="AQ220" s="16" t="s">
        <v>48</v>
      </c>
      <c r="AR220" s="37">
        <f>1-0.0972</f>
        <v>0.90280000000000005</v>
      </c>
      <c r="AS220" s="16">
        <f>1-0.1948</f>
        <v>0.80520000000000003</v>
      </c>
      <c r="AT220" s="37">
        <f>1-0.0456</f>
        <v>0.95440000000000003</v>
      </c>
      <c r="AU220" s="16">
        <f>1-0.0725</f>
        <v>0.92749999999999999</v>
      </c>
      <c r="AV220" s="16">
        <f>1-0.0645</f>
        <v>0.9355</v>
      </c>
      <c r="AW220" s="35">
        <f t="shared" si="69"/>
        <v>0.90508000000000011</v>
      </c>
      <c r="AX220" s="43">
        <f t="shared" si="97"/>
        <v>3.0700000000000061E-2</v>
      </c>
    </row>
    <row r="221" spans="1:56">
      <c r="A221" s="79"/>
      <c r="B221" s="16" t="s">
        <v>51</v>
      </c>
      <c r="C221" s="16">
        <f>72*C218</f>
        <v>67.003199999999993</v>
      </c>
      <c r="D221" s="16">
        <f>29*D218</f>
        <v>26.0014</v>
      </c>
      <c r="E221" s="16">
        <f>84*E218</f>
        <v>70.996799999999993</v>
      </c>
      <c r="F221" s="16">
        <f>169*F218</f>
        <v>135.99429999999998</v>
      </c>
      <c r="G221" s="16">
        <f>123*G218</f>
        <v>106.99769999999999</v>
      </c>
      <c r="Z221" s="18"/>
      <c r="AA221" s="16" t="s">
        <v>51</v>
      </c>
      <c r="AB221" s="16">
        <f>72*AB218</f>
        <v>69.998400000000004</v>
      </c>
      <c r="AC221" s="19">
        <f>29*AC218</f>
        <v>26.0014</v>
      </c>
      <c r="AD221" s="37">
        <f>84*AD218</f>
        <v>74.004000000000005</v>
      </c>
      <c r="AE221" s="37">
        <f>169*AE218</f>
        <v>141.99379999999999</v>
      </c>
      <c r="AF221" s="16">
        <f>123*AF218</f>
        <v>99.00269999999999</v>
      </c>
      <c r="AG221" s="16">
        <f t="shared" si="87"/>
        <v>82.200060000000008</v>
      </c>
      <c r="AH221" s="43"/>
      <c r="AP221" s="18"/>
      <c r="AQ221" s="16" t="s">
        <v>51</v>
      </c>
      <c r="AR221" s="37">
        <f>72*AR218</f>
        <v>68.997600000000006</v>
      </c>
      <c r="AS221" s="19">
        <f>29*AS218</f>
        <v>26.999000000000002</v>
      </c>
      <c r="AT221" s="37">
        <f>84*AT218</f>
        <v>74.004000000000005</v>
      </c>
      <c r="AU221" s="19">
        <f>169*AU218</f>
        <v>151.00149999999999</v>
      </c>
      <c r="AV221" s="16">
        <f>123*AV218</f>
        <v>105.0051</v>
      </c>
      <c r="AW221" s="35">
        <f t="shared" si="69"/>
        <v>85.201440000000005</v>
      </c>
      <c r="AX221" s="43"/>
    </row>
    <row r="222" spans="1:56">
      <c r="A222" s="79"/>
      <c r="B222" s="16" t="s">
        <v>52</v>
      </c>
      <c r="C222" s="16">
        <f>((1-C219)*C221)/C219</f>
        <v>3.0032779019956153</v>
      </c>
      <c r="D222" s="16">
        <f t="shared" ref="D222:G222" si="98">((1-D219)*D221)/D219</f>
        <v>8.0006923237871046</v>
      </c>
      <c r="E222" s="16">
        <f t="shared" si="98"/>
        <v>2.0001154842689681</v>
      </c>
      <c r="F222" s="16">
        <f t="shared" si="98"/>
        <v>45.986564445336548</v>
      </c>
      <c r="G222" s="16">
        <f t="shared" si="98"/>
        <v>38.994522677036429</v>
      </c>
      <c r="Z222" s="18"/>
      <c r="AA222" s="17" t="s">
        <v>52</v>
      </c>
      <c r="AB222" s="16">
        <f>((1-AB219)*AB221)/AB219</f>
        <v>4.0035029495718399</v>
      </c>
      <c r="AC222" s="16">
        <f t="shared" ref="AC222:AE222" si="99">((1-AC219)*AC221)/AC219</f>
        <v>6.9994884376189859</v>
      </c>
      <c r="AD222" s="37">
        <f t="shared" si="99"/>
        <v>5.001017615031496</v>
      </c>
      <c r="AE222" s="37">
        <f t="shared" si="99"/>
        <v>31.996887415757858</v>
      </c>
      <c r="AF222" s="16">
        <f>((1-AF219)*AF221)/AF219</f>
        <v>17.994109264949188</v>
      </c>
      <c r="AG222" s="16">
        <f t="shared" si="87"/>
        <v>13.199001136585872</v>
      </c>
      <c r="AH222" s="43"/>
      <c r="AP222" s="18"/>
      <c r="AQ222" s="17" t="s">
        <v>52</v>
      </c>
      <c r="AR222" s="37">
        <f>((1-AR219)*AR221)/AR219</f>
        <v>6.9993159599074755</v>
      </c>
      <c r="AS222" s="16">
        <f t="shared" ref="AS222:AV222" si="100">((1-AS219)*AS221)/AS219</f>
        <v>14.996644734795456</v>
      </c>
      <c r="AT222" s="37">
        <f t="shared" si="100"/>
        <v>30.007243851018973</v>
      </c>
      <c r="AU222" s="16">
        <f t="shared" si="100"/>
        <v>80.987284759563664</v>
      </c>
      <c r="AV222" s="16">
        <f t="shared" si="100"/>
        <v>55.996279944802204</v>
      </c>
      <c r="AW222" s="35">
        <f t="shared" si="69"/>
        <v>37.797353850017558</v>
      </c>
      <c r="AX222" s="43"/>
    </row>
    <row r="223" spans="1:56">
      <c r="A223" s="79"/>
      <c r="B223" s="16" t="s">
        <v>53</v>
      </c>
      <c r="C223" s="16">
        <f>144-72</f>
        <v>72</v>
      </c>
      <c r="D223" s="16">
        <f>106-29</f>
        <v>77</v>
      </c>
      <c r="E223" s="16">
        <f>742-84</f>
        <v>658</v>
      </c>
      <c r="F223" s="16">
        <f>1288-169</f>
        <v>1119</v>
      </c>
      <c r="G223" s="16">
        <f>991-123</f>
        <v>868</v>
      </c>
      <c r="H223" s="16" t="s">
        <v>58</v>
      </c>
      <c r="I223" s="16">
        <f>C223-C222</f>
        <v>68.996722098004383</v>
      </c>
      <c r="J223" s="16">
        <f>D223-D222</f>
        <v>68.999307676212894</v>
      </c>
      <c r="K223" s="16">
        <f>E223-E222</f>
        <v>655.99988451573108</v>
      </c>
      <c r="L223" s="16">
        <f>F223-F222</f>
        <v>1073.0134355546634</v>
      </c>
      <c r="M223" s="16">
        <f>G223-G222</f>
        <v>829.00547732296354</v>
      </c>
      <c r="Z223" s="18"/>
      <c r="AA223" s="16" t="s">
        <v>53</v>
      </c>
      <c r="AB223" s="16">
        <f>144-72</f>
        <v>72</v>
      </c>
      <c r="AC223" s="16">
        <f>106-29</f>
        <v>77</v>
      </c>
      <c r="AD223" s="37">
        <f>742-84</f>
        <v>658</v>
      </c>
      <c r="AE223" s="37">
        <f>1288-169</f>
        <v>1119</v>
      </c>
      <c r="AF223" s="16">
        <f>991-123</f>
        <v>868</v>
      </c>
      <c r="AG223" s="16">
        <f t="shared" si="87"/>
        <v>558.79999999999995</v>
      </c>
      <c r="AH223" s="43"/>
      <c r="AI223" s="16" t="s">
        <v>58</v>
      </c>
      <c r="AJ223" s="23">
        <f>AB223-AB222</f>
        <v>67.996497050428161</v>
      </c>
      <c r="AK223" s="23">
        <f>AC223-AC222</f>
        <v>70.000511562381007</v>
      </c>
      <c r="AL223" s="16">
        <f>AD223-AD222</f>
        <v>652.99898238496849</v>
      </c>
      <c r="AM223" s="16">
        <f>AE223-AE222</f>
        <v>1087.0031125842422</v>
      </c>
      <c r="AN223" s="16">
        <f>AF212-AF211</f>
        <v>833.99162586184127</v>
      </c>
      <c r="AP223" s="18"/>
      <c r="AQ223" s="16" t="s">
        <v>53</v>
      </c>
      <c r="AR223" s="37">
        <f>144-72</f>
        <v>72</v>
      </c>
      <c r="AS223" s="16">
        <f>106-29</f>
        <v>77</v>
      </c>
      <c r="AT223" s="37">
        <f>742-84</f>
        <v>658</v>
      </c>
      <c r="AU223" s="16">
        <f>1288-169</f>
        <v>1119</v>
      </c>
      <c r="AV223" s="16">
        <f>991-123</f>
        <v>868</v>
      </c>
      <c r="AW223" s="35">
        <f t="shared" si="69"/>
        <v>558.79999999999995</v>
      </c>
      <c r="AX223" s="43"/>
      <c r="AY223" s="16" t="s">
        <v>58</v>
      </c>
      <c r="AZ223" s="23">
        <f>AR223-AR222</f>
        <v>65.000684040092523</v>
      </c>
      <c r="BA223" s="23">
        <f>AS223-AS222</f>
        <v>62.003355265204547</v>
      </c>
      <c r="BB223" s="16">
        <f>AT223-AT222</f>
        <v>627.99275614898102</v>
      </c>
      <c r="BC223" s="16">
        <f>AU223-AU222</f>
        <v>1038.0127152404364</v>
      </c>
      <c r="BD223" s="16">
        <f>AV223-AV222</f>
        <v>812.00372005519785</v>
      </c>
    </row>
    <row r="224" spans="1:56">
      <c r="A224" s="79"/>
      <c r="B224" s="16" t="s">
        <v>54</v>
      </c>
      <c r="C224" s="16">
        <f>(1-C218)*C221/C218</f>
        <v>4.9968000000000004</v>
      </c>
      <c r="D224" s="16">
        <f t="shared" ref="D224:G224" si="101">(1-D218)*D221/D218</f>
        <v>2.9986000000000019</v>
      </c>
      <c r="E224" s="16">
        <f t="shared" si="101"/>
        <v>13.003200000000005</v>
      </c>
      <c r="F224" s="16">
        <f t="shared" si="101"/>
        <v>33.005700000000004</v>
      </c>
      <c r="G224" s="16">
        <f t="shared" si="101"/>
        <v>16.002299999999998</v>
      </c>
      <c r="I224" s="22"/>
      <c r="Z224" s="18"/>
      <c r="AA224" s="16" t="s">
        <v>54</v>
      </c>
      <c r="AB224" s="16">
        <f>(1-AB218)*AB221/AB218</f>
        <v>2.0016000000000034</v>
      </c>
      <c r="AC224" s="16">
        <f t="shared" ref="AC224:AE224" si="102">(1-AC218)*AC221/AC218</f>
        <v>2.9986000000000019</v>
      </c>
      <c r="AD224" s="37">
        <f t="shared" si="102"/>
        <v>9.9960000000000004</v>
      </c>
      <c r="AE224" s="37">
        <f t="shared" si="102"/>
        <v>27.00620000000001</v>
      </c>
      <c r="AF224" s="16">
        <f>(1-AF218)*AF221/AF218</f>
        <v>23.997300000000003</v>
      </c>
      <c r="AG224" s="16">
        <f t="shared" si="87"/>
        <v>13.199940000000003</v>
      </c>
      <c r="AH224" s="43"/>
      <c r="AP224" s="18"/>
      <c r="AQ224" s="16" t="s">
        <v>54</v>
      </c>
      <c r="AR224" s="37">
        <f>(1-AR218)*AR221/AR218</f>
        <v>3.0023999999999975</v>
      </c>
      <c r="AS224" s="16">
        <f t="shared" ref="AS224:AV224" si="103">(1-AS218)*AS221/AS218</f>
        <v>2.0009999999999986</v>
      </c>
      <c r="AT224" s="37">
        <f t="shared" si="103"/>
        <v>9.9960000000000004</v>
      </c>
      <c r="AU224" s="16">
        <f t="shared" si="103"/>
        <v>17.998500000000003</v>
      </c>
      <c r="AV224" s="16">
        <f t="shared" si="103"/>
        <v>17.994899999999998</v>
      </c>
      <c r="AW224" s="35">
        <f t="shared" si="69"/>
        <v>10.198560000000001</v>
      </c>
      <c r="AX224" s="43"/>
    </row>
    <row r="225" spans="1:50">
      <c r="A225" s="79"/>
      <c r="B225" s="16" t="s">
        <v>55</v>
      </c>
      <c r="C225" s="16">
        <f>(C221*I223-C222*C224)/(POWER(((C221+C222)*(C221+C224)*(I223+C222)*(I223+C224)),0.5))</f>
        <v>0.88922872014938392</v>
      </c>
      <c r="D225" s="29">
        <v>0.75700000000000001</v>
      </c>
      <c r="E225" s="16">
        <v>0.89600000000000002</v>
      </c>
      <c r="F225" s="29">
        <v>0.74009999999999998</v>
      </c>
      <c r="G225" s="29">
        <v>0.76749999999999996</v>
      </c>
      <c r="I225" s="22"/>
      <c r="Z225" s="18"/>
      <c r="AA225" s="16" t="s">
        <v>55</v>
      </c>
      <c r="AB225" s="16">
        <v>0.91700000000000004</v>
      </c>
      <c r="AC225" s="16">
        <v>0.77569999999999995</v>
      </c>
      <c r="AD225" s="37">
        <v>0.8972</v>
      </c>
      <c r="AE225" s="37">
        <v>0.80169999999999997</v>
      </c>
      <c r="AF225" s="29">
        <v>0.80120000000000002</v>
      </c>
      <c r="AG225" s="16">
        <f t="shared" si="87"/>
        <v>0.83855999999999997</v>
      </c>
      <c r="AH225" s="43">
        <f t="shared" si="96"/>
        <v>4.0919999999999956E-2</v>
      </c>
      <c r="AP225" s="18"/>
      <c r="AQ225" s="16" t="s">
        <v>55</v>
      </c>
      <c r="AR225" s="37">
        <v>0.86240000000000006</v>
      </c>
      <c r="AS225" s="16">
        <v>0.67100000000000004</v>
      </c>
      <c r="AT225" s="37">
        <v>0.76239999999999997</v>
      </c>
      <c r="AU225" s="16">
        <v>0.72140000000000004</v>
      </c>
      <c r="AV225" s="16">
        <v>0.70540000000000003</v>
      </c>
      <c r="AW225" s="35">
        <f t="shared" si="69"/>
        <v>0.74451999999999996</v>
      </c>
      <c r="AX225" s="43">
        <f t="shared" si="97"/>
        <v>5.5579999999999963E-2</v>
      </c>
    </row>
    <row r="226" spans="1:50">
      <c r="A226" s="79"/>
      <c r="B226" s="16" t="s">
        <v>56</v>
      </c>
      <c r="C226" s="16">
        <f t="shared" ref="C226" si="104">(C218*(1-C220))/2+(C218+1)*C220/2</f>
        <v>0.94444390345836382</v>
      </c>
      <c r="D226" s="29">
        <v>0.89629999999999999</v>
      </c>
      <c r="E226" s="16">
        <v>0.92110000000000003</v>
      </c>
      <c r="F226" s="29">
        <v>0.88180000000000003</v>
      </c>
      <c r="G226" s="29">
        <v>0.91249999999999998</v>
      </c>
      <c r="I226" s="22"/>
      <c r="Z226" s="18"/>
      <c r="AA226" s="16" t="s">
        <v>56</v>
      </c>
      <c r="AB226" s="16">
        <v>0.95830000000000004</v>
      </c>
      <c r="AC226" s="16">
        <v>0.90280000000000005</v>
      </c>
      <c r="AD226" s="37">
        <v>0.93669999999999998</v>
      </c>
      <c r="AE226" s="37">
        <v>0.90580000000000005</v>
      </c>
      <c r="AF226" s="29">
        <v>0.8921</v>
      </c>
      <c r="AG226" s="16">
        <f t="shared" si="87"/>
        <v>0.91913999999999996</v>
      </c>
      <c r="AH226" s="43">
        <f t="shared" si="96"/>
        <v>6.2799999999999523E-3</v>
      </c>
      <c r="AP226" s="18"/>
      <c r="AQ226" s="16" t="s">
        <v>56</v>
      </c>
      <c r="AR226" s="37">
        <v>0.93059999999999998</v>
      </c>
      <c r="AS226" s="16">
        <v>0.86809999999999998</v>
      </c>
      <c r="AT226" s="37">
        <v>0.91769999999999996</v>
      </c>
      <c r="AU226" s="16">
        <v>0.91049999999999998</v>
      </c>
      <c r="AV226" s="16">
        <v>0.89459999999999995</v>
      </c>
      <c r="AW226" s="35">
        <f t="shared" si="69"/>
        <v>0.90429999999999988</v>
      </c>
      <c r="AX226" s="43">
        <f t="shared" si="97"/>
        <v>2.1079999999999877E-2</v>
      </c>
    </row>
    <row r="227" spans="1:50">
      <c r="A227" s="80"/>
      <c r="B227" s="16" t="s">
        <v>57</v>
      </c>
      <c r="C227" s="16">
        <f>(C221+I223)/(C221+C222+C224+I223)</f>
        <v>0.94444390345836382</v>
      </c>
      <c r="D227" s="29">
        <v>0.8962</v>
      </c>
      <c r="E227" s="16">
        <v>0.9798</v>
      </c>
      <c r="F227" s="29">
        <v>0.93859999999999999</v>
      </c>
      <c r="G227" s="29">
        <v>0.94450000000000001</v>
      </c>
      <c r="I227" s="22"/>
      <c r="Z227" s="18"/>
      <c r="AA227" s="16" t="s">
        <v>57</v>
      </c>
      <c r="AB227" s="16">
        <v>0.95830000000000004</v>
      </c>
      <c r="AC227" s="16">
        <v>0.90569999999999995</v>
      </c>
      <c r="AD227" s="37">
        <v>0.9798</v>
      </c>
      <c r="AE227" s="37">
        <v>0.95420000000000005</v>
      </c>
      <c r="AF227" s="29">
        <v>0.95760000000000001</v>
      </c>
      <c r="AG227" s="16">
        <f t="shared" si="87"/>
        <v>0.95112000000000008</v>
      </c>
      <c r="AH227" s="43">
        <f t="shared" si="96"/>
        <v>1.4140000000000152E-2</v>
      </c>
      <c r="AP227" s="18"/>
      <c r="AQ227" s="16" t="s">
        <v>57</v>
      </c>
      <c r="AR227" s="37">
        <v>0.93059999999999998</v>
      </c>
      <c r="AS227" s="16">
        <v>0.83960000000000001</v>
      </c>
      <c r="AT227" s="37">
        <v>0.94610000000000005</v>
      </c>
      <c r="AU227" s="16">
        <v>0.92310000000000003</v>
      </c>
      <c r="AV227" s="16">
        <v>0.92530000000000001</v>
      </c>
      <c r="AW227" s="35">
        <f t="shared" si="69"/>
        <v>0.91294000000000008</v>
      </c>
      <c r="AX227" s="43">
        <f t="shared" si="97"/>
        <v>2.4240000000000039E-2</v>
      </c>
    </row>
    <row r="228" spans="1:50">
      <c r="A228" s="78" t="s">
        <v>50</v>
      </c>
      <c r="B228" s="24" t="s">
        <v>1</v>
      </c>
      <c r="C228" s="24">
        <v>0.95169999999999999</v>
      </c>
      <c r="D228" s="24">
        <v>0.87270000000000003</v>
      </c>
      <c r="E228" s="24">
        <v>0.91139999999999999</v>
      </c>
      <c r="F228" s="24">
        <v>0.83169999999999999</v>
      </c>
      <c r="G228" s="24">
        <v>0.83140000000000003</v>
      </c>
    </row>
    <row r="229" spans="1:50">
      <c r="A229" s="79"/>
      <c r="B229" s="16" t="s">
        <v>2</v>
      </c>
      <c r="C229" s="16">
        <v>0.95830000000000004</v>
      </c>
      <c r="D229" s="16">
        <v>0.8276</v>
      </c>
      <c r="E229" s="16">
        <v>0.85709999999999997</v>
      </c>
      <c r="F229" s="16">
        <v>0.77510000000000001</v>
      </c>
      <c r="G229" s="16">
        <v>0.86180000000000001</v>
      </c>
    </row>
    <row r="230" spans="1:50">
      <c r="A230" s="79"/>
      <c r="B230" s="16" t="s">
        <v>47</v>
      </c>
      <c r="C230" s="16">
        <v>0.94520000000000004</v>
      </c>
      <c r="D230" s="16">
        <v>0.92310000000000003</v>
      </c>
      <c r="E230" s="16">
        <v>0.97299999999999998</v>
      </c>
      <c r="F230" s="16">
        <v>0.89729999999999999</v>
      </c>
      <c r="G230" s="16">
        <v>0.80300000000000005</v>
      </c>
    </row>
    <row r="231" spans="1:50">
      <c r="A231" s="79"/>
      <c r="B231" s="16" t="s">
        <v>48</v>
      </c>
      <c r="C231" s="16">
        <f>1-0.0556</f>
        <v>0.94440000000000002</v>
      </c>
      <c r="D231" s="16">
        <f>1-0.026</f>
        <v>0.97399999999999998</v>
      </c>
      <c r="E231" s="16">
        <f>1-0.003</f>
        <v>0.997</v>
      </c>
      <c r="F231" s="16">
        <f>1-0.0134</f>
        <v>0.98660000000000003</v>
      </c>
      <c r="G231" s="16">
        <f>1-0.03</f>
        <v>0.97</v>
      </c>
    </row>
    <row r="232" spans="1:50">
      <c r="A232" s="79"/>
      <c r="B232" s="16" t="s">
        <v>51</v>
      </c>
      <c r="C232" s="16">
        <f>72*C229</f>
        <v>68.997600000000006</v>
      </c>
      <c r="D232" s="16">
        <f>29*D229</f>
        <v>24.000399999999999</v>
      </c>
      <c r="E232" s="16">
        <f>84*E229</f>
        <v>71.996399999999994</v>
      </c>
      <c r="F232" s="16">
        <f>169*F229</f>
        <v>130.99190000000002</v>
      </c>
      <c r="G232" s="16">
        <f>123*G229</f>
        <v>106.0014</v>
      </c>
    </row>
    <row r="233" spans="1:50">
      <c r="A233" s="79"/>
      <c r="B233" s="17" t="s">
        <v>52</v>
      </c>
      <c r="C233" s="16">
        <f>((1-C230)*C232)/C230</f>
        <v>4.0002840457046096</v>
      </c>
      <c r="D233" s="16">
        <f t="shared" ref="D233:G233" si="105">((1-D230)*D232)/D230</f>
        <v>1.9993833387498636</v>
      </c>
      <c r="E233" s="16">
        <f t="shared" si="105"/>
        <v>1.9978446043165485</v>
      </c>
      <c r="F233" s="16">
        <f t="shared" si="105"/>
        <v>14.992609082803972</v>
      </c>
      <c r="G233" s="16">
        <f t="shared" si="105"/>
        <v>26.005324782067241</v>
      </c>
    </row>
    <row r="234" spans="1:50">
      <c r="A234" s="79"/>
      <c r="B234" s="16" t="s">
        <v>53</v>
      </c>
      <c r="C234" s="16">
        <f>144-72</f>
        <v>72</v>
      </c>
      <c r="D234" s="16">
        <f>106-29</f>
        <v>77</v>
      </c>
      <c r="E234" s="16">
        <f>742-84</f>
        <v>658</v>
      </c>
      <c r="F234" s="16">
        <f>1288-169</f>
        <v>1119</v>
      </c>
      <c r="G234" s="16">
        <f>991-123</f>
        <v>868</v>
      </c>
      <c r="H234" s="16" t="s">
        <v>58</v>
      </c>
      <c r="I234" s="23">
        <f>C234-C233</f>
        <v>67.999715954295397</v>
      </c>
      <c r="J234" s="23">
        <f>D234-D233</f>
        <v>75.000616661250135</v>
      </c>
      <c r="K234" s="16">
        <f>E234-E233</f>
        <v>656.00215539568342</v>
      </c>
      <c r="L234" s="16">
        <f>F234-F233</f>
        <v>1104.0073909171961</v>
      </c>
      <c r="M234" s="16">
        <f>G234-G233</f>
        <v>841.99467521793281</v>
      </c>
    </row>
    <row r="235" spans="1:50">
      <c r="A235" s="79"/>
      <c r="B235" s="16" t="s">
        <v>54</v>
      </c>
      <c r="C235" s="16">
        <f>(1-C229)*C232/C229</f>
        <v>3.0023999999999975</v>
      </c>
      <c r="D235" s="16">
        <f t="shared" ref="D235:G235" si="106">(1-D229)*D232/D229</f>
        <v>4.9996</v>
      </c>
      <c r="E235" s="16">
        <f t="shared" si="106"/>
        <v>12.0036</v>
      </c>
      <c r="F235" s="16">
        <f t="shared" si="106"/>
        <v>38.008100000000006</v>
      </c>
      <c r="G235" s="16">
        <f t="shared" si="106"/>
        <v>16.9986</v>
      </c>
    </row>
    <row r="236" spans="1:50">
      <c r="A236" s="79"/>
      <c r="B236" s="16" t="s">
        <v>55</v>
      </c>
      <c r="C236" s="16">
        <v>0.90290000000000004</v>
      </c>
      <c r="D236" s="16">
        <v>0.8306</v>
      </c>
      <c r="E236" s="16">
        <v>0.90310000000000001</v>
      </c>
      <c r="F236" s="16">
        <v>0.81120000000000003</v>
      </c>
      <c r="G236" s="16">
        <v>0.80720000000000003</v>
      </c>
    </row>
    <row r="237" spans="1:50">
      <c r="A237" s="79"/>
      <c r="B237" s="16" t="s">
        <v>56</v>
      </c>
      <c r="C237" s="16">
        <v>0.95140000000000002</v>
      </c>
      <c r="D237" s="16">
        <v>0.90080000000000005</v>
      </c>
      <c r="E237" s="16">
        <v>0.92710000000000004</v>
      </c>
      <c r="F237" s="16">
        <v>0.88090000000000002</v>
      </c>
      <c r="G237" s="16">
        <v>0.91590000000000005</v>
      </c>
    </row>
    <row r="238" spans="1:50">
      <c r="A238" s="80"/>
      <c r="B238" s="16" t="s">
        <v>57</v>
      </c>
      <c r="C238" s="16">
        <v>0.95140000000000002</v>
      </c>
      <c r="D238" s="16">
        <v>0.93400000000000005</v>
      </c>
      <c r="E238" s="16">
        <v>0.98109999999999997</v>
      </c>
      <c r="F238" s="16">
        <v>0.95879999999999999</v>
      </c>
      <c r="G238" s="16">
        <v>0.95660000000000001</v>
      </c>
    </row>
    <row r="240" spans="1:50" ht="33.75" thickBot="1">
      <c r="A240" s="50" t="s">
        <v>97</v>
      </c>
      <c r="N240" s="74" t="s">
        <v>85</v>
      </c>
      <c r="O240" s="74"/>
      <c r="P240" s="74"/>
      <c r="Q240" s="74"/>
      <c r="R240" s="74"/>
      <c r="S240" s="74" t="s">
        <v>86</v>
      </c>
      <c r="T240" s="75"/>
      <c r="U240" s="72" t="s">
        <v>85</v>
      </c>
      <c r="V240" s="73"/>
      <c r="X240" s="50" t="s">
        <v>96</v>
      </c>
      <c r="AK240" s="74" t="s">
        <v>85</v>
      </c>
      <c r="AL240" s="74"/>
      <c r="AM240" s="74"/>
      <c r="AN240" s="74"/>
      <c r="AO240" s="74"/>
      <c r="AP240" s="74" t="s">
        <v>86</v>
      </c>
      <c r="AQ240" s="75"/>
      <c r="AR240" s="72" t="s">
        <v>85</v>
      </c>
      <c r="AS240" s="73"/>
    </row>
    <row r="241" spans="1:45" ht="16.5" thickBot="1">
      <c r="A241" s="16"/>
      <c r="B241" s="16"/>
      <c r="C241" s="25" t="s">
        <v>98</v>
      </c>
      <c r="D241" s="25" t="s">
        <v>99</v>
      </c>
      <c r="E241" s="25" t="s">
        <v>100</v>
      </c>
      <c r="F241" s="25" t="s">
        <v>101</v>
      </c>
      <c r="G241" s="25" t="s">
        <v>102</v>
      </c>
      <c r="N241" s="57" t="s">
        <v>43</v>
      </c>
      <c r="O241" s="57" t="s">
        <v>44</v>
      </c>
      <c r="P241" s="57" t="s">
        <v>8</v>
      </c>
      <c r="Q241" s="57" t="s">
        <v>24</v>
      </c>
      <c r="R241" s="57" t="s">
        <v>19</v>
      </c>
      <c r="S241" s="57" t="s">
        <v>45</v>
      </c>
      <c r="T241" s="57" t="s">
        <v>83</v>
      </c>
      <c r="U241" s="57" t="s">
        <v>87</v>
      </c>
      <c r="V241" s="57" t="s">
        <v>83</v>
      </c>
      <c r="X241" s="16"/>
      <c r="Y241" s="16"/>
      <c r="Z241" s="25" t="s">
        <v>43</v>
      </c>
      <c r="AA241" s="25" t="s">
        <v>62</v>
      </c>
      <c r="AB241" s="25" t="s">
        <v>8</v>
      </c>
      <c r="AC241" s="25" t="s">
        <v>24</v>
      </c>
      <c r="AD241" s="25" t="s">
        <v>19</v>
      </c>
      <c r="AK241" s="57" t="s">
        <v>43</v>
      </c>
      <c r="AL241" s="57" t="s">
        <v>44</v>
      </c>
      <c r="AM241" s="57" t="s">
        <v>8</v>
      </c>
      <c r="AN241" s="57" t="s">
        <v>24</v>
      </c>
      <c r="AO241" s="57" t="s">
        <v>19</v>
      </c>
      <c r="AP241" s="57" t="s">
        <v>45</v>
      </c>
      <c r="AQ241" s="57" t="s">
        <v>83</v>
      </c>
      <c r="AR241" s="57" t="s">
        <v>87</v>
      </c>
      <c r="AS241" s="57" t="s">
        <v>83</v>
      </c>
    </row>
    <row r="242" spans="1:45">
      <c r="A242" s="78" t="s">
        <v>50</v>
      </c>
      <c r="B242" s="24" t="s">
        <v>1</v>
      </c>
      <c r="C242" s="24">
        <v>0.92620000000000002</v>
      </c>
      <c r="D242" s="24">
        <v>0.73470000000000002</v>
      </c>
      <c r="E242" s="24">
        <v>0.83620000000000005</v>
      </c>
      <c r="F242" s="24">
        <v>0.78349999999999997</v>
      </c>
      <c r="G242" s="24">
        <v>0.63870000000000005</v>
      </c>
      <c r="N242" s="26">
        <v>0.68359999999999999</v>
      </c>
      <c r="O242" s="26">
        <v>0.42970000000000003</v>
      </c>
      <c r="P242" s="26">
        <v>0.67869999999999997</v>
      </c>
      <c r="Q242" s="26">
        <v>0.62470000000000003</v>
      </c>
      <c r="R242" s="26">
        <v>0.50119999999999998</v>
      </c>
      <c r="S242" s="1">
        <f>AVERAGE(N242:R242)</f>
        <v>0.58357999999999988</v>
      </c>
      <c r="T242" s="43">
        <f>S242-S246</f>
        <v>-0.20028000000000012</v>
      </c>
      <c r="U242" s="1">
        <v>0.58360000000000001</v>
      </c>
      <c r="V242" s="43">
        <f>U242-U246</f>
        <v>-0.20030000000000003</v>
      </c>
      <c r="X242" s="78" t="s">
        <v>50</v>
      </c>
      <c r="Y242" s="24" t="s">
        <v>1</v>
      </c>
      <c r="Z242" s="24">
        <v>0.95240000000000002</v>
      </c>
      <c r="AA242" s="24">
        <v>0.89290000000000003</v>
      </c>
      <c r="AB242" s="24">
        <v>0.88619999999999999</v>
      </c>
      <c r="AC242" s="24">
        <v>0.79</v>
      </c>
      <c r="AD242" s="24">
        <v>0.69199999999999995</v>
      </c>
      <c r="AK242" s="26"/>
      <c r="AL242" s="26"/>
      <c r="AM242" s="26"/>
      <c r="AN242" s="26"/>
      <c r="AO242" s="26"/>
      <c r="AP242" s="1" t="e">
        <f>AVERAGE(AK242:AO242)</f>
        <v>#DIV/0!</v>
      </c>
      <c r="AQ242" s="43" t="e">
        <f>AP242-AP246</f>
        <v>#DIV/0!</v>
      </c>
      <c r="AS242" s="43">
        <f>AR242-AR246</f>
        <v>0</v>
      </c>
    </row>
    <row r="243" spans="1:45">
      <c r="A243" s="79"/>
      <c r="B243" s="16" t="s">
        <v>2</v>
      </c>
      <c r="C243" s="16">
        <v>0.95830000000000004</v>
      </c>
      <c r="D243" s="16">
        <v>0.62070000000000003</v>
      </c>
      <c r="E243" s="16">
        <v>0.88100000000000001</v>
      </c>
      <c r="F243" s="16">
        <v>0.67459999999999998</v>
      </c>
      <c r="G243" s="16">
        <v>0.6179</v>
      </c>
      <c r="N243" s="26">
        <v>0.47499999999999998</v>
      </c>
      <c r="O243" s="26">
        <v>0.37819999999999998</v>
      </c>
      <c r="P243" s="26">
        <v>0.23980000000000001</v>
      </c>
      <c r="Q243" s="26">
        <v>0.26750000000000002</v>
      </c>
      <c r="R243" s="26">
        <v>0.23730000000000001</v>
      </c>
      <c r="S243" s="1">
        <f t="shared" ref="S243:S276" si="107">AVERAGE(N243:R243)</f>
        <v>0.31956000000000001</v>
      </c>
      <c r="T243" s="43">
        <f>S243-S246</f>
        <v>-0.46429999999999999</v>
      </c>
      <c r="U243" s="1">
        <v>0.3196</v>
      </c>
      <c r="V243" s="43">
        <f>U243-U246</f>
        <v>-0.46430000000000005</v>
      </c>
      <c r="X243" s="79"/>
      <c r="Y243" s="16" t="s">
        <v>2</v>
      </c>
      <c r="Z243" s="16">
        <v>0.97219999999999995</v>
      </c>
      <c r="AA243" s="16">
        <v>0.86209999999999998</v>
      </c>
      <c r="AB243" s="16">
        <v>0.88100000000000001</v>
      </c>
      <c r="AC243" s="16">
        <v>0.74560000000000004</v>
      </c>
      <c r="AD243" s="16">
        <v>0.66669999999999996</v>
      </c>
      <c r="AK243" s="26"/>
      <c r="AL243" s="26"/>
      <c r="AM243" s="26"/>
      <c r="AN243" s="26"/>
      <c r="AO243" s="26"/>
      <c r="AP243" s="1" t="e">
        <f t="shared" ref="AP243:AP276" si="108">AVERAGE(AK243:AO243)</f>
        <v>#DIV/0!</v>
      </c>
      <c r="AQ243" s="43" t="e">
        <f>AP243-AP246</f>
        <v>#DIV/0!</v>
      </c>
      <c r="AS243" s="43">
        <f>AR243-AR246</f>
        <v>0</v>
      </c>
    </row>
    <row r="244" spans="1:45">
      <c r="A244" s="79"/>
      <c r="B244" s="16" t="s">
        <v>47</v>
      </c>
      <c r="C244" s="16">
        <v>0.89610000000000001</v>
      </c>
      <c r="D244" s="16">
        <v>0.9</v>
      </c>
      <c r="E244" s="16">
        <v>0.79569999999999996</v>
      </c>
      <c r="F244" s="16">
        <v>0.93440000000000001</v>
      </c>
      <c r="G244" s="16">
        <v>0.66090000000000004</v>
      </c>
      <c r="N244" s="26">
        <v>0.91279999999999994</v>
      </c>
      <c r="O244" s="26">
        <v>0.70369999999999999</v>
      </c>
      <c r="P244" s="26">
        <v>0.75819999999999999</v>
      </c>
      <c r="Q244" s="26">
        <v>0.66469999999999996</v>
      </c>
      <c r="R244" s="26">
        <v>0.62860000000000005</v>
      </c>
      <c r="S244" s="1">
        <f t="shared" si="107"/>
        <v>0.73359999999999992</v>
      </c>
      <c r="T244" s="43">
        <f>S244-S246</f>
        <v>-5.0260000000000082E-2</v>
      </c>
      <c r="U244" s="1">
        <v>0.73360000000000003</v>
      </c>
      <c r="V244" s="43">
        <f>U244-U246</f>
        <v>-5.0300000000000011E-2</v>
      </c>
      <c r="X244" s="79"/>
      <c r="Y244" s="16" t="s">
        <v>47</v>
      </c>
      <c r="Z244" s="16">
        <v>0.93330000000000002</v>
      </c>
      <c r="AA244" s="16">
        <v>0.92589999999999995</v>
      </c>
      <c r="AB244" s="16">
        <v>0.89159999999999995</v>
      </c>
      <c r="AC244" s="16">
        <v>0.84</v>
      </c>
      <c r="AD244" s="16">
        <v>0.71930000000000005</v>
      </c>
      <c r="AK244" s="26"/>
      <c r="AL244" s="26"/>
      <c r="AM244" s="26"/>
      <c r="AN244" s="26"/>
      <c r="AO244" s="26"/>
      <c r="AP244" s="1" t="e">
        <f t="shared" si="108"/>
        <v>#DIV/0!</v>
      </c>
      <c r="AQ244" s="43" t="e">
        <f>AP244-AP246</f>
        <v>#DIV/0!</v>
      </c>
      <c r="AS244" s="43">
        <f>AR244-AR246</f>
        <v>0</v>
      </c>
    </row>
    <row r="245" spans="1:45">
      <c r="A245" s="79"/>
      <c r="B245" s="16" t="s">
        <v>48</v>
      </c>
      <c r="C245" s="16">
        <f>1-0.1111</f>
        <v>0.88890000000000002</v>
      </c>
      <c r="D245" s="16">
        <f>1-0.026</f>
        <v>0.97399999999999998</v>
      </c>
      <c r="E245" s="16">
        <f>1-0.0289</f>
        <v>0.97109999999999996</v>
      </c>
      <c r="F245" s="16">
        <f>1-0.0072</f>
        <v>0.99280000000000002</v>
      </c>
      <c r="G245" s="16">
        <f>1-0.0449</f>
        <v>0.95509999999999995</v>
      </c>
      <c r="N245" s="27">
        <v>0.9042</v>
      </c>
      <c r="O245" s="27">
        <v>0.62919999999999998</v>
      </c>
      <c r="P245" s="27">
        <v>0.71009999999999995</v>
      </c>
      <c r="Q245" s="27">
        <v>0.65259999999999996</v>
      </c>
      <c r="R245" s="27">
        <v>0.58789999999999998</v>
      </c>
      <c r="S245" s="1">
        <f t="shared" si="107"/>
        <v>0.69679999999999997</v>
      </c>
      <c r="T245" s="43">
        <f>S245-S246</f>
        <v>-8.7060000000000026E-2</v>
      </c>
      <c r="U245" s="1">
        <v>0.69679999999999997</v>
      </c>
      <c r="V245" s="43">
        <f>U245-U246</f>
        <v>-8.7100000000000066E-2</v>
      </c>
      <c r="X245" s="79"/>
      <c r="Y245" s="16" t="s">
        <v>48</v>
      </c>
      <c r="Z245" s="16">
        <f>1-0.0694</f>
        <v>0.93059999999999998</v>
      </c>
      <c r="AA245" s="16">
        <f>1-0.026</f>
        <v>0.97399999999999998</v>
      </c>
      <c r="AB245" s="16">
        <f>1-0.0137</f>
        <v>0.98629999999999995</v>
      </c>
      <c r="AC245" s="16">
        <f>1-0.0215</f>
        <v>0.97850000000000004</v>
      </c>
      <c r="AD245" s="16">
        <f>1-0.0369</f>
        <v>0.96309999999999996</v>
      </c>
      <c r="AK245" s="27"/>
      <c r="AL245" s="27"/>
      <c r="AM245" s="27"/>
      <c r="AN245" s="27"/>
      <c r="AO245" s="27"/>
      <c r="AP245" s="1" t="e">
        <f t="shared" si="108"/>
        <v>#DIV/0!</v>
      </c>
      <c r="AQ245" s="43" t="e">
        <f>AP245-AP246</f>
        <v>#DIV/0!</v>
      </c>
      <c r="AS245" s="43">
        <f>AR245-AR246</f>
        <v>0</v>
      </c>
    </row>
    <row r="246" spans="1:45" ht="16.5" thickBot="1">
      <c r="A246" s="79"/>
      <c r="B246" s="16" t="s">
        <v>51</v>
      </c>
      <c r="C246" s="16">
        <f>72*C243</f>
        <v>68.997600000000006</v>
      </c>
      <c r="D246" s="16">
        <f t="shared" ref="D246:G246" si="109">72*D243</f>
        <v>44.690400000000004</v>
      </c>
      <c r="E246" s="16">
        <f t="shared" si="109"/>
        <v>63.432000000000002</v>
      </c>
      <c r="F246" s="16">
        <f t="shared" si="109"/>
        <v>48.571199999999997</v>
      </c>
      <c r="G246" s="16">
        <f t="shared" si="109"/>
        <v>44.488799999999998</v>
      </c>
      <c r="N246" s="41">
        <v>0.92620000000000002</v>
      </c>
      <c r="O246" s="41">
        <v>0.73470000000000002</v>
      </c>
      <c r="P246" s="41">
        <v>0.83620000000000005</v>
      </c>
      <c r="Q246" s="41">
        <v>0.78349999999999997</v>
      </c>
      <c r="R246" s="41">
        <v>0.63870000000000005</v>
      </c>
      <c r="S246" s="1">
        <f t="shared" si="107"/>
        <v>0.78386</v>
      </c>
      <c r="T246" s="43"/>
      <c r="U246" s="1">
        <v>0.78390000000000004</v>
      </c>
      <c r="V246" s="43"/>
      <c r="X246" s="79"/>
      <c r="Y246" s="16" t="s">
        <v>51</v>
      </c>
      <c r="Z246" s="16">
        <f>72*Z243</f>
        <v>69.998400000000004</v>
      </c>
      <c r="AA246" s="16">
        <f t="shared" ref="AA246:AD246" si="110">72*AA243</f>
        <v>62.071199999999997</v>
      </c>
      <c r="AB246" s="16">
        <f t="shared" si="110"/>
        <v>63.432000000000002</v>
      </c>
      <c r="AC246" s="16">
        <f t="shared" si="110"/>
        <v>53.683199999999999</v>
      </c>
      <c r="AD246" s="16">
        <f t="shared" si="110"/>
        <v>48.002399999999994</v>
      </c>
      <c r="AK246" s="41"/>
      <c r="AL246" s="41"/>
      <c r="AM246" s="41"/>
      <c r="AN246" s="41"/>
      <c r="AO246" s="41"/>
      <c r="AP246" s="1" t="e">
        <f t="shared" si="108"/>
        <v>#DIV/0!</v>
      </c>
      <c r="AQ246" s="43"/>
      <c r="AS246" s="43"/>
    </row>
    <row r="247" spans="1:45">
      <c r="A247" s="79"/>
      <c r="B247" s="17" t="s">
        <v>52</v>
      </c>
      <c r="C247" s="16">
        <f>((1-C244)*C246)/C244</f>
        <v>8.000056511550051</v>
      </c>
      <c r="D247" s="16">
        <f t="shared" ref="D247:G247" si="111">((1-D244)*D246)/D244</f>
        <v>4.9655999999999993</v>
      </c>
      <c r="E247" s="16">
        <f t="shared" si="111"/>
        <v>16.286486866909645</v>
      </c>
      <c r="F247" s="16">
        <f t="shared" si="111"/>
        <v>3.4099643835616433</v>
      </c>
      <c r="G247" s="16">
        <f t="shared" si="111"/>
        <v>22.826678892419423</v>
      </c>
      <c r="N247" s="28">
        <v>0.63890000000000002</v>
      </c>
      <c r="O247" s="26">
        <v>0.31319999999999998</v>
      </c>
      <c r="P247" s="26">
        <v>0.70040000000000002</v>
      </c>
      <c r="Q247" s="26">
        <v>0.53210000000000002</v>
      </c>
      <c r="R247" s="26">
        <v>0.42209999999999998</v>
      </c>
      <c r="S247" s="1">
        <f t="shared" si="107"/>
        <v>0.52133999999999991</v>
      </c>
      <c r="T247" s="43">
        <f>S247-S251</f>
        <v>-0.22916000000000003</v>
      </c>
      <c r="U247" s="1">
        <v>0.52129999999999999</v>
      </c>
      <c r="V247" s="43">
        <f>U247-U251</f>
        <v>-0.22919999999999996</v>
      </c>
      <c r="X247" s="79"/>
      <c r="Y247" s="17" t="s">
        <v>52</v>
      </c>
      <c r="Z247" s="16">
        <f>((1-Z244)*Z246)/Z244</f>
        <v>5.0025643201542902</v>
      </c>
      <c r="AA247" s="16">
        <f t="shared" ref="AA247:AD247" si="112">((1-AA244)*AA246)/AA244</f>
        <v>4.9675730856464018</v>
      </c>
      <c r="AB247" s="16">
        <f t="shared" si="112"/>
        <v>7.7120107671601659</v>
      </c>
      <c r="AC247" s="16">
        <f t="shared" si="112"/>
        <v>10.22537142857143</v>
      </c>
      <c r="AD247" s="16">
        <f t="shared" si="112"/>
        <v>18.732481134436252</v>
      </c>
      <c r="AK247" s="28"/>
      <c r="AL247" s="26"/>
      <c r="AM247" s="26"/>
      <c r="AN247" s="26"/>
      <c r="AO247" s="26"/>
      <c r="AP247" s="1" t="e">
        <f t="shared" si="108"/>
        <v>#DIV/0!</v>
      </c>
      <c r="AQ247" s="43" t="e">
        <f>AP247-AP251</f>
        <v>#DIV/0!</v>
      </c>
      <c r="AS247" s="43">
        <f>AR247-AR251</f>
        <v>0</v>
      </c>
    </row>
    <row r="248" spans="1:45">
      <c r="A248" s="79"/>
      <c r="B248" s="16" t="s">
        <v>53</v>
      </c>
      <c r="C248" s="16">
        <f>144-72</f>
        <v>72</v>
      </c>
      <c r="D248" s="16">
        <f t="shared" ref="D248:G248" si="113">144-72</f>
        <v>72</v>
      </c>
      <c r="E248" s="16">
        <f t="shared" si="113"/>
        <v>72</v>
      </c>
      <c r="F248" s="16">
        <f t="shared" si="113"/>
        <v>72</v>
      </c>
      <c r="G248" s="16">
        <f t="shared" si="113"/>
        <v>72</v>
      </c>
      <c r="H248" s="16" t="s">
        <v>58</v>
      </c>
      <c r="I248" s="16">
        <f>C248-C247</f>
        <v>63.999943488449951</v>
      </c>
      <c r="J248" s="16">
        <f>D248-D247</f>
        <v>67.034400000000005</v>
      </c>
      <c r="K248" s="16">
        <f>E248-E247</f>
        <v>55.713513133090359</v>
      </c>
      <c r="L248" s="16">
        <f>F248-F247</f>
        <v>68.590035616438357</v>
      </c>
      <c r="M248" s="16">
        <f>G248-G247</f>
        <v>49.173321107580577</v>
      </c>
      <c r="N248" s="28">
        <v>0.50819999999999999</v>
      </c>
      <c r="O248" s="26">
        <v>0.49759999999999999</v>
      </c>
      <c r="P248" s="28">
        <v>0.55300000000000005</v>
      </c>
      <c r="Q248" s="26">
        <v>0.5625</v>
      </c>
      <c r="R248" s="28">
        <v>0.52849999999999997</v>
      </c>
      <c r="S248" s="1">
        <f t="shared" si="107"/>
        <v>0.52995999999999999</v>
      </c>
      <c r="T248" s="43">
        <f>S248-S251</f>
        <v>-0.22053999999999996</v>
      </c>
      <c r="U248" s="1">
        <v>0.52990000000000004</v>
      </c>
      <c r="V248" s="43">
        <f>U248-U251</f>
        <v>-0.22059999999999991</v>
      </c>
      <c r="X248" s="79"/>
      <c r="Y248" s="16" t="s">
        <v>53</v>
      </c>
      <c r="Z248" s="16">
        <f>144-72</f>
        <v>72</v>
      </c>
      <c r="AA248" s="16">
        <f t="shared" ref="AA248:AD248" si="114">144-72</f>
        <v>72</v>
      </c>
      <c r="AB248" s="16">
        <f t="shared" si="114"/>
        <v>72</v>
      </c>
      <c r="AC248" s="16">
        <f t="shared" si="114"/>
        <v>72</v>
      </c>
      <c r="AD248" s="16">
        <f t="shared" si="114"/>
        <v>72</v>
      </c>
      <c r="AE248" s="16" t="s">
        <v>58</v>
      </c>
      <c r="AF248" s="16">
        <f>Z248-Z247</f>
        <v>66.997435679845708</v>
      </c>
      <c r="AG248" s="16">
        <f>AA248-AA247</f>
        <v>67.032426914353593</v>
      </c>
      <c r="AH248" s="16">
        <f>AB248-AB247</f>
        <v>64.287989232839834</v>
      </c>
      <c r="AI248" s="16">
        <f>AC248-AC247</f>
        <v>61.774628571428572</v>
      </c>
      <c r="AJ248" s="16">
        <f>AD248-AD247</f>
        <v>53.267518865563744</v>
      </c>
      <c r="AK248" s="28"/>
      <c r="AL248" s="26"/>
      <c r="AM248" s="28"/>
      <c r="AN248" s="26"/>
      <c r="AO248" s="28"/>
      <c r="AP248" s="1" t="e">
        <f t="shared" si="108"/>
        <v>#DIV/0!</v>
      </c>
      <c r="AQ248" s="43" t="e">
        <f>AP248-AP251</f>
        <v>#DIV/0!</v>
      </c>
      <c r="AS248" s="43">
        <f>AR248-AR251</f>
        <v>0</v>
      </c>
    </row>
    <row r="249" spans="1:45">
      <c r="A249" s="79"/>
      <c r="B249" s="16" t="s">
        <v>54</v>
      </c>
      <c r="C249" s="16">
        <f>(1-C243)*C246/C243</f>
        <v>3.0023999999999975</v>
      </c>
      <c r="D249" s="16">
        <f t="shared" ref="D249:G249" si="115">(1-D243)*D246/D243</f>
        <v>27.309599999999996</v>
      </c>
      <c r="E249" s="16">
        <f t="shared" si="115"/>
        <v>8.5679999999999996</v>
      </c>
      <c r="F249" s="16">
        <f t="shared" si="115"/>
        <v>23.428800000000003</v>
      </c>
      <c r="G249" s="16">
        <f t="shared" si="115"/>
        <v>27.511199999999999</v>
      </c>
      <c r="N249" s="26">
        <v>0.94440000000000002</v>
      </c>
      <c r="O249" s="26">
        <v>0.6552</v>
      </c>
      <c r="P249" s="26">
        <v>0.82140000000000002</v>
      </c>
      <c r="Q249" s="26">
        <v>0.66269999999999996</v>
      </c>
      <c r="R249" s="26">
        <v>0.66379999999999995</v>
      </c>
      <c r="S249" s="1">
        <f t="shared" si="107"/>
        <v>0.74950000000000006</v>
      </c>
      <c r="T249" s="43">
        <f>S249-S251</f>
        <v>-9.9999999999988987E-4</v>
      </c>
      <c r="U249" s="1">
        <v>0.74950000000000006</v>
      </c>
      <c r="V249" s="43">
        <f>U249-U251</f>
        <v>-9.9999999999988987E-4</v>
      </c>
      <c r="X249" s="79"/>
      <c r="Y249" s="16" t="s">
        <v>54</v>
      </c>
      <c r="Z249" s="16">
        <f>(1-Z243)*Z246/Z243</f>
        <v>2.0016000000000034</v>
      </c>
      <c r="AA249" s="16">
        <f t="shared" ref="AA249:AD249" si="116">(1-AA243)*AA246/AA243</f>
        <v>9.9288000000000007</v>
      </c>
      <c r="AB249" s="16">
        <f t="shared" si="116"/>
        <v>8.5679999999999996</v>
      </c>
      <c r="AC249" s="16">
        <f t="shared" si="116"/>
        <v>18.316799999999994</v>
      </c>
      <c r="AD249" s="16">
        <f t="shared" si="116"/>
        <v>23.997600000000002</v>
      </c>
      <c r="AK249" s="26"/>
      <c r="AL249" s="26"/>
      <c r="AM249" s="26"/>
      <c r="AN249" s="26"/>
      <c r="AO249" s="26"/>
      <c r="AP249" s="1" t="e">
        <f t="shared" si="108"/>
        <v>#DIV/0!</v>
      </c>
      <c r="AQ249" s="43" t="e">
        <f>AP249-AP251</f>
        <v>#DIV/0!</v>
      </c>
      <c r="AS249" s="43">
        <f>AR249-AR251</f>
        <v>0</v>
      </c>
    </row>
    <row r="250" spans="1:45">
      <c r="A250" s="79"/>
      <c r="B250" s="16" t="s">
        <v>55</v>
      </c>
      <c r="C250" s="16">
        <v>0.84930000000000005</v>
      </c>
      <c r="D250" s="16">
        <v>0.67759999999999998</v>
      </c>
      <c r="E250" s="16">
        <v>0.81540000000000001</v>
      </c>
      <c r="F250" s="16">
        <v>0.76949999999999996</v>
      </c>
      <c r="G250" s="16">
        <v>0.58979999999999999</v>
      </c>
      <c r="N250" s="27">
        <v>0.9294</v>
      </c>
      <c r="O250" s="30">
        <v>0.56899999999999995</v>
      </c>
      <c r="P250" s="27">
        <v>0.8155</v>
      </c>
      <c r="Q250" s="27">
        <v>0.71399999999999997</v>
      </c>
      <c r="R250" s="30">
        <v>0.64770000000000005</v>
      </c>
      <c r="S250" s="1">
        <f t="shared" si="107"/>
        <v>0.73512</v>
      </c>
      <c r="T250" s="43">
        <f>S250-S251</f>
        <v>-1.5379999999999949E-2</v>
      </c>
      <c r="U250" s="1">
        <v>0.73509999999999998</v>
      </c>
      <c r="V250" s="43">
        <f>U250-U251</f>
        <v>-1.5399999999999969E-2</v>
      </c>
      <c r="X250" s="79"/>
      <c r="Y250" s="16" t="s">
        <v>55</v>
      </c>
      <c r="Z250" s="16">
        <v>0.90359999999999996</v>
      </c>
      <c r="AA250" s="16">
        <v>0.85550000000000004</v>
      </c>
      <c r="AB250" s="16">
        <v>0.87180000000000002</v>
      </c>
      <c r="AC250" s="16">
        <v>0.7621</v>
      </c>
      <c r="AD250" s="16">
        <v>0.65080000000000005</v>
      </c>
      <c r="AK250" s="27"/>
      <c r="AL250" s="30"/>
      <c r="AM250" s="27"/>
      <c r="AN250" s="27"/>
      <c r="AO250" s="30"/>
      <c r="AP250" s="1" t="e">
        <f t="shared" si="108"/>
        <v>#DIV/0!</v>
      </c>
      <c r="AQ250" s="43" t="e">
        <f>AP250-AP251</f>
        <v>#DIV/0!</v>
      </c>
      <c r="AS250" s="43">
        <f>AR250-AR251</f>
        <v>0</v>
      </c>
    </row>
    <row r="251" spans="1:45" ht="16.5" thickBot="1">
      <c r="A251" s="79"/>
      <c r="B251" s="16" t="s">
        <v>56</v>
      </c>
      <c r="C251" s="16">
        <v>0.92359999999999998</v>
      </c>
      <c r="D251" s="16">
        <v>0.7974</v>
      </c>
      <c r="E251" s="16">
        <v>0.92600000000000005</v>
      </c>
      <c r="F251" s="16">
        <v>0.8337</v>
      </c>
      <c r="G251" s="16">
        <v>0.78649999999999998</v>
      </c>
      <c r="N251" s="41">
        <v>0.95830000000000004</v>
      </c>
      <c r="O251" s="42">
        <v>0.62070000000000003</v>
      </c>
      <c r="P251" s="41">
        <v>0.88100000000000001</v>
      </c>
      <c r="Q251" s="42">
        <v>0.67459999999999998</v>
      </c>
      <c r="R251" s="42">
        <v>0.6179</v>
      </c>
      <c r="S251" s="1">
        <f t="shared" si="107"/>
        <v>0.75049999999999994</v>
      </c>
      <c r="T251" s="43"/>
      <c r="U251" s="1">
        <v>0.75049999999999994</v>
      </c>
      <c r="V251" s="43"/>
      <c r="X251" s="79"/>
      <c r="Y251" s="16" t="s">
        <v>56</v>
      </c>
      <c r="Z251" s="16">
        <v>0.95140000000000002</v>
      </c>
      <c r="AA251" s="16">
        <v>0.91800000000000004</v>
      </c>
      <c r="AB251" s="16">
        <v>0.93359999999999999</v>
      </c>
      <c r="AC251" s="16">
        <v>0.86199999999999999</v>
      </c>
      <c r="AD251" s="16">
        <v>0.81489999999999996</v>
      </c>
      <c r="AK251" s="41"/>
      <c r="AL251" s="42"/>
      <c r="AM251" s="41"/>
      <c r="AN251" s="42"/>
      <c r="AO251" s="42"/>
      <c r="AP251" s="1" t="e">
        <f t="shared" si="108"/>
        <v>#DIV/0!</v>
      </c>
      <c r="AQ251" s="43"/>
      <c r="AS251" s="43"/>
    </row>
    <row r="252" spans="1:45">
      <c r="A252" s="80"/>
      <c r="B252" s="16" t="s">
        <v>57</v>
      </c>
      <c r="C252" s="16">
        <v>0.92359999999999998</v>
      </c>
      <c r="D252" s="16">
        <v>0.87739999999999996</v>
      </c>
      <c r="E252" s="16">
        <v>0.96089999999999998</v>
      </c>
      <c r="F252" s="16">
        <v>0.95099999999999996</v>
      </c>
      <c r="G252" s="16">
        <v>0.91320000000000001</v>
      </c>
      <c r="N252" s="26">
        <v>0.76339999999999997</v>
      </c>
      <c r="O252" s="26">
        <v>0.79510000000000003</v>
      </c>
      <c r="P252" s="26">
        <v>0.69379999999999997</v>
      </c>
      <c r="Q252" s="26">
        <v>0.80640000000000001</v>
      </c>
      <c r="R252" s="28">
        <v>0.68</v>
      </c>
      <c r="S252" s="1">
        <f t="shared" si="107"/>
        <v>0.74774000000000007</v>
      </c>
      <c r="T252" s="43">
        <f>S252-S256</f>
        <v>-8.9679999999999982E-2</v>
      </c>
      <c r="U252" s="1">
        <v>0.74770000000000003</v>
      </c>
      <c r="V252" s="43">
        <f>U252-U256</f>
        <v>-8.9700000000000002E-2</v>
      </c>
      <c r="X252" s="80"/>
      <c r="Y252" s="16" t="s">
        <v>57</v>
      </c>
      <c r="Z252" s="16">
        <v>0.95140000000000002</v>
      </c>
      <c r="AA252" s="16">
        <v>0.94340000000000002</v>
      </c>
      <c r="AB252" s="16">
        <v>0.97440000000000004</v>
      </c>
      <c r="AC252" s="16">
        <v>0.94789999999999996</v>
      </c>
      <c r="AD252" s="16">
        <v>0.92630000000000001</v>
      </c>
      <c r="AK252" s="26"/>
      <c r="AL252" s="26"/>
      <c r="AM252" s="26"/>
      <c r="AN252" s="26"/>
      <c r="AO252" s="28"/>
      <c r="AP252" s="1" t="e">
        <f t="shared" si="108"/>
        <v>#DIV/0!</v>
      </c>
      <c r="AQ252" s="43" t="e">
        <f>AP252-AP256</f>
        <v>#DIV/0!</v>
      </c>
      <c r="AS252" s="43">
        <f>AR252-AR256</f>
        <v>0</v>
      </c>
    </row>
    <row r="253" spans="1:45">
      <c r="A253" s="78" t="s">
        <v>92</v>
      </c>
      <c r="B253" s="24" t="s">
        <v>1</v>
      </c>
      <c r="C253" s="24"/>
      <c r="D253" s="24"/>
      <c r="E253" s="24"/>
      <c r="F253" s="24"/>
      <c r="G253" s="24"/>
      <c r="N253" s="26">
        <v>0.49399999999999999</v>
      </c>
      <c r="O253" s="26">
        <v>0.34279999999999999</v>
      </c>
      <c r="P253" s="26">
        <v>0.15790000000000001</v>
      </c>
      <c r="Q253" s="26">
        <v>0.1822</v>
      </c>
      <c r="R253" s="26">
        <v>0.1603</v>
      </c>
      <c r="S253" s="1">
        <f t="shared" si="107"/>
        <v>0.26744000000000001</v>
      </c>
      <c r="T253" s="43">
        <f>S253-S256</f>
        <v>-0.56998000000000004</v>
      </c>
      <c r="U253" s="1">
        <v>0.26740000000000003</v>
      </c>
      <c r="V253" s="43">
        <f>U253-U256</f>
        <v>-0.57000000000000006</v>
      </c>
      <c r="X253" s="78" t="s">
        <v>92</v>
      </c>
      <c r="Y253" s="24" t="s">
        <v>1</v>
      </c>
      <c r="Z253" s="24"/>
      <c r="AA253" s="24"/>
      <c r="AB253" s="24"/>
      <c r="AC253" s="24"/>
      <c r="AD253" s="24"/>
      <c r="AK253" s="26"/>
      <c r="AL253" s="26"/>
      <c r="AM253" s="26"/>
      <c r="AN253" s="26"/>
      <c r="AO253" s="26"/>
      <c r="AP253" s="1" t="e">
        <f t="shared" si="108"/>
        <v>#DIV/0!</v>
      </c>
      <c r="AQ253" s="43" t="e">
        <f>AP253-AP256</f>
        <v>#DIV/0!</v>
      </c>
      <c r="AS253" s="43">
        <f>AR253-AR256</f>
        <v>0</v>
      </c>
    </row>
    <row r="254" spans="1:45">
      <c r="A254" s="79"/>
      <c r="B254" s="16" t="s">
        <v>2</v>
      </c>
      <c r="C254" s="16"/>
      <c r="D254" s="16"/>
      <c r="E254" s="16"/>
      <c r="F254" s="16"/>
      <c r="G254" s="16"/>
      <c r="N254" s="26">
        <v>0.8831</v>
      </c>
      <c r="O254" s="26">
        <v>0.76</v>
      </c>
      <c r="P254" s="26">
        <v>0.70409999999999995</v>
      </c>
      <c r="Q254" s="26">
        <v>0.66669999999999996</v>
      </c>
      <c r="R254" s="26">
        <v>0.59689999999999999</v>
      </c>
      <c r="S254" s="1">
        <f t="shared" si="107"/>
        <v>0.72216000000000002</v>
      </c>
      <c r="T254" s="43">
        <f>S254-S256</f>
        <v>-0.11526000000000003</v>
      </c>
      <c r="U254" s="1">
        <v>0.72219999999999995</v>
      </c>
      <c r="V254" s="43">
        <f>U254-U256</f>
        <v>-0.11520000000000008</v>
      </c>
      <c r="X254" s="79"/>
      <c r="Y254" s="16" t="s">
        <v>2</v>
      </c>
      <c r="Z254" s="16"/>
      <c r="AA254" s="16"/>
      <c r="AB254" s="16"/>
      <c r="AC254" s="16"/>
      <c r="AD254" s="16"/>
      <c r="AK254" s="26"/>
      <c r="AL254" s="26"/>
      <c r="AM254" s="26"/>
      <c r="AN254" s="26"/>
      <c r="AO254" s="26"/>
      <c r="AP254" s="1" t="e">
        <f t="shared" si="108"/>
        <v>#DIV/0!</v>
      </c>
      <c r="AQ254" s="43" t="e">
        <f>AP254-AP256</f>
        <v>#DIV/0!</v>
      </c>
      <c r="AS254" s="43">
        <f>AR254-AR256</f>
        <v>0</v>
      </c>
    </row>
    <row r="255" spans="1:45">
      <c r="A255" s="79"/>
      <c r="B255" s="16" t="s">
        <v>47</v>
      </c>
      <c r="C255" s="16"/>
      <c r="D255" s="16"/>
      <c r="E255" s="16"/>
      <c r="F255" s="16"/>
      <c r="G255" s="16"/>
      <c r="N255" s="30">
        <v>0.88490000000000002</v>
      </c>
      <c r="O255" s="27">
        <v>0.8236</v>
      </c>
      <c r="P255" s="27">
        <v>0.67869999999999997</v>
      </c>
      <c r="Q255" s="27">
        <v>0.63670000000000004</v>
      </c>
      <c r="R255" s="27">
        <v>0.6089</v>
      </c>
      <c r="S255" s="1">
        <f t="shared" si="107"/>
        <v>0.72656000000000009</v>
      </c>
      <c r="T255" s="43">
        <f>S255-S256</f>
        <v>-0.11085999999999996</v>
      </c>
      <c r="U255" s="1">
        <v>0.72660000000000002</v>
      </c>
      <c r="V255" s="43">
        <f>U255-U256</f>
        <v>-0.11080000000000001</v>
      </c>
      <c r="X255" s="79"/>
      <c r="Y255" s="16" t="s">
        <v>47</v>
      </c>
      <c r="Z255" s="16"/>
      <c r="AA255" s="16"/>
      <c r="AB255" s="16"/>
      <c r="AC255" s="16"/>
      <c r="AD255" s="16"/>
      <c r="AK255" s="30"/>
      <c r="AL255" s="27"/>
      <c r="AM255" s="27"/>
      <c r="AN255" s="27"/>
      <c r="AO255" s="27"/>
      <c r="AP255" s="1" t="e">
        <f t="shared" si="108"/>
        <v>#DIV/0!</v>
      </c>
      <c r="AQ255" s="43" t="e">
        <f>AP255-AP256</f>
        <v>#DIV/0!</v>
      </c>
      <c r="AS255" s="43">
        <f>AR255-AR256</f>
        <v>0</v>
      </c>
    </row>
    <row r="256" spans="1:45" ht="16.5" thickBot="1">
      <c r="A256" s="79"/>
      <c r="B256" s="16" t="s">
        <v>48</v>
      </c>
      <c r="C256" s="16"/>
      <c r="D256" s="16"/>
      <c r="E256" s="16"/>
      <c r="F256" s="16"/>
      <c r="G256" s="16"/>
      <c r="N256" s="42">
        <v>0.89610000000000001</v>
      </c>
      <c r="O256" s="41">
        <v>0.9</v>
      </c>
      <c r="P256" s="41">
        <v>0.79569999999999996</v>
      </c>
      <c r="Q256" s="41">
        <v>0.93440000000000001</v>
      </c>
      <c r="R256" s="42">
        <v>0.66090000000000004</v>
      </c>
      <c r="S256" s="1">
        <f t="shared" si="107"/>
        <v>0.83742000000000005</v>
      </c>
      <c r="T256" s="43"/>
      <c r="U256" s="1">
        <v>0.83740000000000003</v>
      </c>
      <c r="V256" s="43"/>
      <c r="X256" s="79"/>
      <c r="Y256" s="16" t="s">
        <v>48</v>
      </c>
      <c r="Z256" s="16"/>
      <c r="AA256" s="16"/>
      <c r="AB256" s="16"/>
      <c r="AC256" s="16"/>
      <c r="AD256" s="16"/>
      <c r="AK256" s="42"/>
      <c r="AL256" s="41"/>
      <c r="AM256" s="41"/>
      <c r="AN256" s="41"/>
      <c r="AO256" s="42"/>
      <c r="AP256" s="1" t="e">
        <f t="shared" si="108"/>
        <v>#DIV/0!</v>
      </c>
      <c r="AQ256" s="43"/>
      <c r="AS256" s="43"/>
    </row>
    <row r="257" spans="1:45">
      <c r="A257" s="79"/>
      <c r="B257" s="16" t="s">
        <v>51</v>
      </c>
      <c r="C257" s="16">
        <f>72*C254</f>
        <v>0</v>
      </c>
      <c r="D257" s="16">
        <f t="shared" ref="D257:G257" si="117">72*D254</f>
        <v>0</v>
      </c>
      <c r="E257" s="16">
        <f t="shared" si="117"/>
        <v>0</v>
      </c>
      <c r="F257" s="16">
        <f t="shared" si="117"/>
        <v>0</v>
      </c>
      <c r="G257" s="16">
        <f t="shared" si="117"/>
        <v>0</v>
      </c>
      <c r="N257" s="27">
        <v>0.78939999999999999</v>
      </c>
      <c r="O257" s="27">
        <v>0.95889999999999997</v>
      </c>
      <c r="P257" s="27">
        <v>0.95130000000000003</v>
      </c>
      <c r="Q257" s="27">
        <v>0.97689999999999999</v>
      </c>
      <c r="R257" s="30">
        <v>0.9677</v>
      </c>
      <c r="S257" s="1">
        <f t="shared" si="107"/>
        <v>0.92884000000000011</v>
      </c>
      <c r="T257" s="43">
        <f>S257-S261</f>
        <v>-2.7539999999999898E-2</v>
      </c>
      <c r="U257" s="1">
        <v>0.92879999999999996</v>
      </c>
      <c r="V257" s="43">
        <f>U257-U261</f>
        <v>-2.7600000000000069E-2</v>
      </c>
      <c r="X257" s="79"/>
      <c r="Y257" s="16" t="s">
        <v>51</v>
      </c>
      <c r="Z257" s="16">
        <f>72*Z254</f>
        <v>0</v>
      </c>
      <c r="AA257" s="16">
        <f t="shared" ref="AA257:AD257" si="118">72*AA254</f>
        <v>0</v>
      </c>
      <c r="AB257" s="16">
        <f t="shared" si="118"/>
        <v>0</v>
      </c>
      <c r="AC257" s="16">
        <f t="shared" si="118"/>
        <v>0</v>
      </c>
      <c r="AD257" s="16">
        <f t="shared" si="118"/>
        <v>0</v>
      </c>
      <c r="AK257" s="27"/>
      <c r="AL257" s="27"/>
      <c r="AM257" s="27"/>
      <c r="AN257" s="27"/>
      <c r="AO257" s="30"/>
      <c r="AP257" s="1" t="e">
        <f t="shared" si="108"/>
        <v>#DIV/0!</v>
      </c>
      <c r="AQ257" s="43" t="e">
        <f>AP257-AP261</f>
        <v>#DIV/0!</v>
      </c>
      <c r="AS257" s="43">
        <f>AR257-AR261</f>
        <v>0</v>
      </c>
    </row>
    <row r="258" spans="1:45">
      <c r="A258" s="79"/>
      <c r="B258" s="56" t="s">
        <v>52</v>
      </c>
      <c r="C258" s="16" t="e">
        <f>((1-C255)*C257)/C255</f>
        <v>#DIV/0!</v>
      </c>
      <c r="D258" s="16" t="e">
        <f t="shared" ref="D258:G258" si="119">((1-D255)*D257)/D255</f>
        <v>#DIV/0!</v>
      </c>
      <c r="E258" s="16" t="e">
        <f t="shared" si="119"/>
        <v>#DIV/0!</v>
      </c>
      <c r="F258" s="16" t="e">
        <f t="shared" si="119"/>
        <v>#DIV/0!</v>
      </c>
      <c r="G258" s="16" t="e">
        <f t="shared" si="119"/>
        <v>#DIV/0!</v>
      </c>
      <c r="N258" s="26">
        <v>0.48599999999999999</v>
      </c>
      <c r="O258" s="28">
        <v>0.62969999999999993</v>
      </c>
      <c r="P258" s="26">
        <v>0.59929999999999994</v>
      </c>
      <c r="Q258" s="26">
        <v>0.58050000000000002</v>
      </c>
      <c r="R258" s="26">
        <v>0.57469999999999999</v>
      </c>
      <c r="S258" s="1">
        <f t="shared" si="107"/>
        <v>0.57403999999999988</v>
      </c>
      <c r="T258" s="43">
        <f>S258-S261</f>
        <v>-0.38234000000000012</v>
      </c>
      <c r="U258" s="1">
        <v>0.57399999999999995</v>
      </c>
      <c r="V258" s="43">
        <f>U258-U261</f>
        <v>-0.38240000000000007</v>
      </c>
      <c r="X258" s="79"/>
      <c r="Y258" s="56" t="s">
        <v>52</v>
      </c>
      <c r="Z258" s="16" t="e">
        <f>((1-Z255)*Z257)/Z255</f>
        <v>#DIV/0!</v>
      </c>
      <c r="AA258" s="16" t="e">
        <f t="shared" ref="AA258:AD258" si="120">((1-AA255)*AA257)/AA255</f>
        <v>#DIV/0!</v>
      </c>
      <c r="AB258" s="16" t="e">
        <f t="shared" si="120"/>
        <v>#DIV/0!</v>
      </c>
      <c r="AC258" s="16" t="e">
        <f t="shared" si="120"/>
        <v>#DIV/0!</v>
      </c>
      <c r="AD258" s="16" t="e">
        <f t="shared" si="120"/>
        <v>#DIV/0!</v>
      </c>
      <c r="AK258" s="26"/>
      <c r="AL258" s="28"/>
      <c r="AM258" s="26"/>
      <c r="AN258" s="26"/>
      <c r="AO258" s="26"/>
      <c r="AP258" s="1" t="e">
        <f t="shared" si="108"/>
        <v>#DIV/0!</v>
      </c>
      <c r="AQ258" s="43" t="e">
        <f>AP258-AP261</f>
        <v>#DIV/0!</v>
      </c>
      <c r="AS258" s="43">
        <f>AR258-AR261</f>
        <v>0</v>
      </c>
    </row>
    <row r="259" spans="1:45">
      <c r="A259" s="79"/>
      <c r="B259" s="16" t="s">
        <v>53</v>
      </c>
      <c r="C259" s="16">
        <f>144-72</f>
        <v>72</v>
      </c>
      <c r="D259" s="16">
        <f t="shared" ref="D259:G259" si="121">144-72</f>
        <v>72</v>
      </c>
      <c r="E259" s="16">
        <f t="shared" si="121"/>
        <v>72</v>
      </c>
      <c r="F259" s="16">
        <f t="shared" si="121"/>
        <v>72</v>
      </c>
      <c r="G259" s="16">
        <f t="shared" si="121"/>
        <v>72</v>
      </c>
      <c r="H259" s="16" t="s">
        <v>58</v>
      </c>
      <c r="I259" s="16" t="e">
        <f>C259-C258</f>
        <v>#DIV/0!</v>
      </c>
      <c r="J259" s="16" t="e">
        <f>D259-D258</f>
        <v>#DIV/0!</v>
      </c>
      <c r="K259" s="16" t="e">
        <f>E259-E258</f>
        <v>#DIV/0!</v>
      </c>
      <c r="L259" s="16" t="e">
        <f>F259-F258</f>
        <v>#DIV/0!</v>
      </c>
      <c r="M259" s="16" t="e">
        <f>G259-G258</f>
        <v>#DIV/0!</v>
      </c>
      <c r="N259" s="26">
        <v>0.875</v>
      </c>
      <c r="O259" s="26">
        <v>0.92210000000000003</v>
      </c>
      <c r="P259" s="26">
        <v>0.95589999999999997</v>
      </c>
      <c r="Q259" s="26">
        <v>0.94989999999999997</v>
      </c>
      <c r="R259" s="26">
        <v>0.94059999999999999</v>
      </c>
      <c r="S259" s="1">
        <f t="shared" si="107"/>
        <v>0.92870000000000008</v>
      </c>
      <c r="T259" s="43">
        <f>S259-S261</f>
        <v>-2.7679999999999927E-2</v>
      </c>
      <c r="U259" s="1">
        <v>0.92869999999999997</v>
      </c>
      <c r="V259" s="43">
        <f>U259-U261</f>
        <v>-2.7700000000000058E-2</v>
      </c>
      <c r="X259" s="79"/>
      <c r="Y259" s="16" t="s">
        <v>53</v>
      </c>
      <c r="Z259" s="16">
        <f>144-72</f>
        <v>72</v>
      </c>
      <c r="AA259" s="16">
        <f t="shared" ref="AA259:AD259" si="122">144-72</f>
        <v>72</v>
      </c>
      <c r="AB259" s="16">
        <f t="shared" si="122"/>
        <v>72</v>
      </c>
      <c r="AC259" s="16">
        <f t="shared" si="122"/>
        <v>72</v>
      </c>
      <c r="AD259" s="16">
        <f t="shared" si="122"/>
        <v>72</v>
      </c>
      <c r="AE259" s="16" t="s">
        <v>58</v>
      </c>
      <c r="AF259" s="16" t="e">
        <f>Z259-Z258</f>
        <v>#DIV/0!</v>
      </c>
      <c r="AG259" s="16" t="e">
        <f>AA259-AA258</f>
        <v>#DIV/0!</v>
      </c>
      <c r="AH259" s="16" t="e">
        <f>AB259-AB258</f>
        <v>#DIV/0!</v>
      </c>
      <c r="AI259" s="16" t="e">
        <f>AC259-AC258</f>
        <v>#DIV/0!</v>
      </c>
      <c r="AJ259" s="16" t="e">
        <f>AD259-AD258</f>
        <v>#DIV/0!</v>
      </c>
      <c r="AK259" s="26"/>
      <c r="AL259" s="26"/>
      <c r="AM259" s="26"/>
      <c r="AN259" s="26"/>
      <c r="AO259" s="26"/>
      <c r="AP259" s="1" t="e">
        <f t="shared" si="108"/>
        <v>#DIV/0!</v>
      </c>
      <c r="AQ259" s="43" t="e">
        <f>AP259-AP261</f>
        <v>#DIV/0!</v>
      </c>
      <c r="AS259" s="43">
        <f>AR259-AR261</f>
        <v>0</v>
      </c>
    </row>
    <row r="260" spans="1:45">
      <c r="A260" s="79"/>
      <c r="B260" s="16" t="s">
        <v>54</v>
      </c>
      <c r="C260" s="16" t="e">
        <f>(1-C254)*C257/C254</f>
        <v>#DIV/0!</v>
      </c>
      <c r="D260" s="16" t="e">
        <f t="shared" ref="D260:G260" si="123">(1-D254)*D257/D254</f>
        <v>#DIV/0!</v>
      </c>
      <c r="E260" s="16" t="e">
        <f t="shared" si="123"/>
        <v>#DIV/0!</v>
      </c>
      <c r="F260" s="16" t="e">
        <f t="shared" si="123"/>
        <v>#DIV/0!</v>
      </c>
      <c r="G260" s="16" t="e">
        <f t="shared" si="123"/>
        <v>#DIV/0!</v>
      </c>
      <c r="N260" s="30">
        <v>0.87380000000000002</v>
      </c>
      <c r="O260" s="27">
        <v>0.9405</v>
      </c>
      <c r="P260" s="30">
        <v>0.93300000000000005</v>
      </c>
      <c r="Q260" s="27">
        <v>0.93120000000000003</v>
      </c>
      <c r="R260" s="27">
        <v>0.91749999999999998</v>
      </c>
      <c r="S260" s="1">
        <f t="shared" si="107"/>
        <v>0.91920000000000002</v>
      </c>
      <c r="T260" s="43">
        <f>S260-S261</f>
        <v>-3.7179999999999991E-2</v>
      </c>
      <c r="U260" s="1">
        <v>0.91920000000000002</v>
      </c>
      <c r="V260" s="43">
        <f>U260-U261</f>
        <v>-3.7200000000000011E-2</v>
      </c>
      <c r="X260" s="79"/>
      <c r="Y260" s="16" t="s">
        <v>54</v>
      </c>
      <c r="Z260" s="16" t="e">
        <f>(1-Z254)*Z257/Z254</f>
        <v>#DIV/0!</v>
      </c>
      <c r="AA260" s="16" t="e">
        <f t="shared" ref="AA260:AD260" si="124">(1-AA254)*AA257/AA254</f>
        <v>#DIV/0!</v>
      </c>
      <c r="AB260" s="16" t="e">
        <f t="shared" si="124"/>
        <v>#DIV/0!</v>
      </c>
      <c r="AC260" s="16" t="e">
        <f t="shared" si="124"/>
        <v>#DIV/0!</v>
      </c>
      <c r="AD260" s="16" t="e">
        <f t="shared" si="124"/>
        <v>#DIV/0!</v>
      </c>
      <c r="AK260" s="30"/>
      <c r="AL260" s="27"/>
      <c r="AM260" s="30"/>
      <c r="AN260" s="27"/>
      <c r="AO260" s="27"/>
      <c r="AP260" s="1" t="e">
        <f t="shared" si="108"/>
        <v>#DIV/0!</v>
      </c>
      <c r="AQ260" s="43" t="e">
        <f>AP260-AP261</f>
        <v>#DIV/0!</v>
      </c>
      <c r="AS260" s="43">
        <f>AR260-AR261</f>
        <v>0</v>
      </c>
    </row>
    <row r="261" spans="1:45" ht="16.5" thickBot="1">
      <c r="A261" s="79"/>
      <c r="B261" s="16" t="s">
        <v>55</v>
      </c>
      <c r="C261" s="16"/>
      <c r="D261" s="16"/>
      <c r="E261" s="16"/>
      <c r="F261" s="16"/>
      <c r="G261" s="16"/>
      <c r="N261" s="42">
        <v>0.88890000000000002</v>
      </c>
      <c r="O261" s="41">
        <v>0.97399999999999998</v>
      </c>
      <c r="P261" s="41">
        <v>0.97109999999999996</v>
      </c>
      <c r="Q261" s="41">
        <v>0.99280000000000002</v>
      </c>
      <c r="R261" s="42">
        <v>0.95509999999999995</v>
      </c>
      <c r="S261" s="1">
        <f t="shared" si="107"/>
        <v>0.95638000000000001</v>
      </c>
      <c r="T261" s="43"/>
      <c r="U261" s="1">
        <v>0.95640000000000003</v>
      </c>
      <c r="V261" s="43"/>
      <c r="X261" s="79"/>
      <c r="Y261" s="16" t="s">
        <v>55</v>
      </c>
      <c r="Z261" s="16"/>
      <c r="AA261" s="16"/>
      <c r="AB261" s="16"/>
      <c r="AC261" s="16"/>
      <c r="AD261" s="16"/>
      <c r="AK261" s="42"/>
      <c r="AL261" s="41"/>
      <c r="AM261" s="41"/>
      <c r="AN261" s="41"/>
      <c r="AO261" s="42"/>
      <c r="AP261" s="1" t="e">
        <f t="shared" si="108"/>
        <v>#DIV/0!</v>
      </c>
      <c r="AQ261" s="43"/>
      <c r="AS261" s="43"/>
    </row>
    <row r="262" spans="1:45">
      <c r="A262" s="79"/>
      <c r="B262" s="16" t="s">
        <v>56</v>
      </c>
      <c r="C262" s="16"/>
      <c r="D262" s="16"/>
      <c r="E262" s="16"/>
      <c r="F262" s="16"/>
      <c r="G262" s="16"/>
      <c r="N262" s="26">
        <v>0.44479999999999997</v>
      </c>
      <c r="O262" s="26">
        <v>0.39140000000000003</v>
      </c>
      <c r="P262" s="26">
        <v>0.64739999999999998</v>
      </c>
      <c r="Q262" s="26">
        <v>0.60660000000000003</v>
      </c>
      <c r="R262" s="26">
        <v>0.47610000000000002</v>
      </c>
      <c r="S262" s="1">
        <f t="shared" si="107"/>
        <v>0.51326000000000005</v>
      </c>
      <c r="T262" s="43">
        <f>S262-S266</f>
        <v>-0.22705999999999982</v>
      </c>
      <c r="U262" s="1">
        <v>0.51319999999999999</v>
      </c>
      <c r="V262" s="43">
        <f>U262-U266</f>
        <v>-0.22709999999999997</v>
      </c>
      <c r="X262" s="79"/>
      <c r="Y262" s="16" t="s">
        <v>56</v>
      </c>
      <c r="Z262" s="16"/>
      <c r="AA262" s="16"/>
      <c r="AB262" s="16"/>
      <c r="AC262" s="16"/>
      <c r="AD262" s="16"/>
      <c r="AK262" s="26"/>
      <c r="AL262" s="26"/>
      <c r="AM262" s="26"/>
      <c r="AN262" s="26"/>
      <c r="AO262" s="26"/>
      <c r="AP262" s="1" t="e">
        <f t="shared" si="108"/>
        <v>#DIV/0!</v>
      </c>
      <c r="AQ262" s="43" t="e">
        <f>AP262-AP266</f>
        <v>#DIV/0!</v>
      </c>
      <c r="AS262" s="43">
        <f>AR262-AR266</f>
        <v>0</v>
      </c>
    </row>
    <row r="263" spans="1:45">
      <c r="A263" s="80"/>
      <c r="B263" s="16" t="s">
        <v>57</v>
      </c>
      <c r="C263" s="16"/>
      <c r="D263" s="16"/>
      <c r="E263" s="16"/>
      <c r="F263" s="16"/>
      <c r="G263" s="16"/>
      <c r="N263" s="26">
        <v>-8.8999999999999999E-3</v>
      </c>
      <c r="O263" s="26">
        <v>0.1202</v>
      </c>
      <c r="P263" s="26">
        <v>0.1038</v>
      </c>
      <c r="Q263" s="26">
        <v>0.10539999999999999</v>
      </c>
      <c r="R263" s="26">
        <v>7.6700000000000004E-2</v>
      </c>
      <c r="S263" s="1">
        <f t="shared" si="107"/>
        <v>7.9439999999999997E-2</v>
      </c>
      <c r="T263" s="43">
        <f>S263-S266</f>
        <v>-0.66087999999999991</v>
      </c>
      <c r="U263" s="1">
        <v>7.9399999999999998E-2</v>
      </c>
      <c r="V263" s="43">
        <f>U263-U266</f>
        <v>-0.66089999999999993</v>
      </c>
      <c r="X263" s="80"/>
      <c r="Y263" s="16" t="s">
        <v>57</v>
      </c>
      <c r="Z263" s="16"/>
      <c r="AA263" s="16"/>
      <c r="AB263" s="16"/>
      <c r="AC263" s="16"/>
      <c r="AD263" s="16"/>
      <c r="AK263" s="26"/>
      <c r="AL263" s="26"/>
      <c r="AM263" s="26"/>
      <c r="AN263" s="26"/>
      <c r="AO263" s="26"/>
      <c r="AP263" s="1" t="e">
        <f t="shared" si="108"/>
        <v>#DIV/0!</v>
      </c>
      <c r="AQ263" s="43" t="e">
        <f>AP263-AP266</f>
        <v>#DIV/0!</v>
      </c>
      <c r="AS263" s="43">
        <f>AR263-AR266</f>
        <v>0</v>
      </c>
    </row>
    <row r="264" spans="1:45">
      <c r="A264" s="78" t="s">
        <v>93</v>
      </c>
      <c r="B264" s="24" t="s">
        <v>1</v>
      </c>
      <c r="C264" s="24"/>
      <c r="D264" s="24"/>
      <c r="E264" s="24"/>
      <c r="F264" s="24"/>
      <c r="G264" s="24"/>
      <c r="N264" s="26">
        <v>0.82140000000000002</v>
      </c>
      <c r="O264" s="26">
        <v>0.60619999999999996</v>
      </c>
      <c r="P264" s="26">
        <v>0.72750000000000004</v>
      </c>
      <c r="Q264" s="26">
        <v>0.61419999999999997</v>
      </c>
      <c r="R264" s="26">
        <v>0.57740000000000002</v>
      </c>
      <c r="S264" s="1">
        <f t="shared" si="107"/>
        <v>0.66933999999999994</v>
      </c>
      <c r="T264" s="43">
        <f>S264-S266</f>
        <v>-7.0979999999999932E-2</v>
      </c>
      <c r="U264" s="1">
        <v>0.66930000000000001</v>
      </c>
      <c r="V264" s="43">
        <f>U264-U266</f>
        <v>-7.0999999999999952E-2</v>
      </c>
      <c r="X264" s="78" t="s">
        <v>93</v>
      </c>
      <c r="Y264" s="24" t="s">
        <v>1</v>
      </c>
      <c r="Z264" s="24"/>
      <c r="AA264" s="24"/>
      <c r="AB264" s="24"/>
      <c r="AC264" s="24"/>
      <c r="AD264" s="24"/>
      <c r="AK264" s="26"/>
      <c r="AL264" s="26"/>
      <c r="AM264" s="26"/>
      <c r="AN264" s="26"/>
      <c r="AO264" s="26"/>
      <c r="AP264" s="1" t="e">
        <f t="shared" si="108"/>
        <v>#DIV/0!</v>
      </c>
      <c r="AQ264" s="43" t="e">
        <f>AP264-AP266</f>
        <v>#DIV/0!</v>
      </c>
      <c r="AS264" s="43">
        <f>AR264-AR266</f>
        <v>0</v>
      </c>
    </row>
    <row r="265" spans="1:45">
      <c r="A265" s="79"/>
      <c r="B265" s="16" t="s">
        <v>2</v>
      </c>
      <c r="C265" s="16"/>
      <c r="D265" s="54"/>
      <c r="E265" s="16"/>
      <c r="F265" s="16"/>
      <c r="G265" s="54"/>
      <c r="N265" s="27">
        <v>0.80920000000000003</v>
      </c>
      <c r="O265" s="27">
        <v>0.57730000000000004</v>
      </c>
      <c r="P265" s="27">
        <v>0.6905</v>
      </c>
      <c r="Q265" s="27">
        <v>0.61270000000000002</v>
      </c>
      <c r="R265" s="27">
        <v>0.54990000000000006</v>
      </c>
      <c r="S265" s="1">
        <f t="shared" si="107"/>
        <v>0.64792000000000005</v>
      </c>
      <c r="T265" s="43">
        <f>S265-S266</f>
        <v>-9.2399999999999816E-2</v>
      </c>
      <c r="U265" s="1">
        <v>0.64790000000000003</v>
      </c>
      <c r="V265" s="43">
        <f>U265-U266</f>
        <v>-9.2399999999999927E-2</v>
      </c>
      <c r="X265" s="79"/>
      <c r="Y265" s="16" t="s">
        <v>2</v>
      </c>
      <c r="Z265" s="16"/>
      <c r="AA265" s="54"/>
      <c r="AB265" s="16"/>
      <c r="AC265" s="16"/>
      <c r="AD265" s="54"/>
      <c r="AK265" s="27"/>
      <c r="AL265" s="27"/>
      <c r="AM265" s="27"/>
      <c r="AN265" s="27"/>
      <c r="AO265" s="27"/>
      <c r="AP265" s="1" t="e">
        <f t="shared" si="108"/>
        <v>#DIV/0!</v>
      </c>
      <c r="AQ265" s="43" t="e">
        <f>AP265-AP266</f>
        <v>#DIV/0!</v>
      </c>
      <c r="AS265" s="43">
        <f>AR265-AR266</f>
        <v>0</v>
      </c>
    </row>
    <row r="266" spans="1:45" ht="16.5" thickBot="1">
      <c r="A266" s="79"/>
      <c r="B266" s="16" t="s">
        <v>47</v>
      </c>
      <c r="C266" s="16"/>
      <c r="D266" s="54"/>
      <c r="E266" s="16"/>
      <c r="F266" s="16"/>
      <c r="G266" s="54"/>
      <c r="N266" s="41">
        <v>0.84930000000000005</v>
      </c>
      <c r="O266" s="41">
        <v>0.67759999999999998</v>
      </c>
      <c r="P266" s="41">
        <v>0.81540000000000001</v>
      </c>
      <c r="Q266" s="41">
        <v>0.76949999999999996</v>
      </c>
      <c r="R266" s="41">
        <v>0.58979999999999999</v>
      </c>
      <c r="S266" s="1">
        <f t="shared" si="107"/>
        <v>0.74031999999999987</v>
      </c>
      <c r="T266" s="43"/>
      <c r="U266" s="1">
        <v>0.74029999999999996</v>
      </c>
      <c r="V266" s="43"/>
      <c r="X266" s="79"/>
      <c r="Y266" s="16" t="s">
        <v>47</v>
      </c>
      <c r="Z266" s="16"/>
      <c r="AA266" s="54"/>
      <c r="AB266" s="16"/>
      <c r="AC266" s="16"/>
      <c r="AD266" s="54"/>
      <c r="AK266" s="41"/>
      <c r="AL266" s="41"/>
      <c r="AM266" s="41"/>
      <c r="AN266" s="41"/>
      <c r="AO266" s="41"/>
      <c r="AP266" s="1" t="e">
        <f t="shared" si="108"/>
        <v>#DIV/0!</v>
      </c>
      <c r="AQ266" s="43"/>
      <c r="AS266" s="43"/>
    </row>
    <row r="267" spans="1:45">
      <c r="A267" s="79"/>
      <c r="B267" s="16" t="s">
        <v>48</v>
      </c>
      <c r="C267" s="16"/>
      <c r="D267" s="54"/>
      <c r="E267" s="16"/>
      <c r="F267" s="16"/>
      <c r="G267" s="54"/>
      <c r="N267" s="26">
        <v>0.71409999999999996</v>
      </c>
      <c r="O267" s="26">
        <v>0.63600000000000001</v>
      </c>
      <c r="P267" s="26">
        <v>0.82579999999999998</v>
      </c>
      <c r="Q267" s="26">
        <v>0.75449999999999995</v>
      </c>
      <c r="R267" s="26">
        <v>0.69489999999999996</v>
      </c>
      <c r="S267" s="1">
        <f t="shared" si="107"/>
        <v>0.72505999999999993</v>
      </c>
      <c r="T267" s="43">
        <f>S267-S271</f>
        <v>-0.12838000000000005</v>
      </c>
      <c r="U267" s="1">
        <v>0.72509999999999997</v>
      </c>
      <c r="V267" s="43">
        <f>U267-U271</f>
        <v>-0.12830000000000008</v>
      </c>
      <c r="X267" s="79"/>
      <c r="Y267" s="16" t="s">
        <v>48</v>
      </c>
      <c r="Z267" s="16"/>
      <c r="AA267" s="54"/>
      <c r="AB267" s="16"/>
      <c r="AC267" s="16"/>
      <c r="AD267" s="54"/>
      <c r="AK267" s="26"/>
      <c r="AL267" s="26"/>
      <c r="AM267" s="26"/>
      <c r="AN267" s="26"/>
      <c r="AO267" s="26"/>
      <c r="AP267" s="1" t="e">
        <f t="shared" si="108"/>
        <v>#DIV/0!</v>
      </c>
      <c r="AQ267" s="43" t="e">
        <f>AP267-AP271</f>
        <v>#DIV/0!</v>
      </c>
      <c r="AS267" s="43">
        <f>AR267-AR271</f>
        <v>0</v>
      </c>
    </row>
    <row r="268" spans="1:45">
      <c r="A268" s="79"/>
      <c r="B268" s="16" t="s">
        <v>51</v>
      </c>
      <c r="C268" s="16">
        <f>72*C265</f>
        <v>0</v>
      </c>
      <c r="D268" s="54">
        <f t="shared" ref="D268:G268" si="125">72*D265</f>
        <v>0</v>
      </c>
      <c r="E268" s="16">
        <f t="shared" si="125"/>
        <v>0</v>
      </c>
      <c r="F268" s="16">
        <f t="shared" si="125"/>
        <v>0</v>
      </c>
      <c r="G268" s="54">
        <f t="shared" si="125"/>
        <v>0</v>
      </c>
      <c r="N268" s="26">
        <v>0.49709999999999999</v>
      </c>
      <c r="O268" s="26">
        <v>0.56359999999999999</v>
      </c>
      <c r="P268" s="26">
        <v>0.57620000000000005</v>
      </c>
      <c r="Q268" s="26">
        <v>0.57150000000000001</v>
      </c>
      <c r="R268" s="28">
        <v>0.55159999999999998</v>
      </c>
      <c r="S268" s="1">
        <f t="shared" si="107"/>
        <v>0.55200000000000005</v>
      </c>
      <c r="T268" s="43">
        <f>S268-S271</f>
        <v>-0.30143999999999993</v>
      </c>
      <c r="U268" s="1">
        <v>0.55200000000000005</v>
      </c>
      <c r="V268" s="43">
        <f>U268-U271</f>
        <v>-0.3014</v>
      </c>
      <c r="X268" s="79"/>
      <c r="Y268" s="16" t="s">
        <v>51</v>
      </c>
      <c r="Z268" s="16">
        <f>72*Z265</f>
        <v>0</v>
      </c>
      <c r="AA268" s="54">
        <f t="shared" ref="AA268:AD268" si="126">72*AA265</f>
        <v>0</v>
      </c>
      <c r="AB268" s="16">
        <f t="shared" si="126"/>
        <v>0</v>
      </c>
      <c r="AC268" s="16">
        <f t="shared" si="126"/>
        <v>0</v>
      </c>
      <c r="AD268" s="54">
        <f t="shared" si="126"/>
        <v>0</v>
      </c>
      <c r="AK268" s="26"/>
      <c r="AL268" s="26"/>
      <c r="AM268" s="26"/>
      <c r="AN268" s="26"/>
      <c r="AO268" s="28"/>
      <c r="AP268" s="1" t="e">
        <f t="shared" si="108"/>
        <v>#DIV/0!</v>
      </c>
      <c r="AQ268" s="43" t="e">
        <f>AP268-AP271</f>
        <v>#DIV/0!</v>
      </c>
      <c r="AS268" s="43">
        <f>AR268-AR271</f>
        <v>0</v>
      </c>
    </row>
    <row r="269" spans="1:45">
      <c r="A269" s="79"/>
      <c r="B269" s="17" t="s">
        <v>52</v>
      </c>
      <c r="C269" s="16" t="e">
        <f>((1-C266)*C268)/C266</f>
        <v>#DIV/0!</v>
      </c>
      <c r="D269" s="54" t="e">
        <f t="shared" ref="D269:G269" si="127">((1-D266)*D268)/D266</f>
        <v>#DIV/0!</v>
      </c>
      <c r="E269" s="16" t="e">
        <f t="shared" si="127"/>
        <v>#DIV/0!</v>
      </c>
      <c r="F269" s="16" t="e">
        <f t="shared" si="127"/>
        <v>#DIV/0!</v>
      </c>
      <c r="G269" s="54" t="e">
        <f t="shared" si="127"/>
        <v>#DIV/0!</v>
      </c>
      <c r="N269" s="26">
        <v>0.90969999999999995</v>
      </c>
      <c r="O269" s="26">
        <v>0.78859999999999997</v>
      </c>
      <c r="P269" s="26">
        <v>0.88870000000000005</v>
      </c>
      <c r="Q269" s="26">
        <v>0.80630000000000002</v>
      </c>
      <c r="R269" s="26">
        <v>0.80220000000000002</v>
      </c>
      <c r="S269" s="1">
        <f t="shared" si="107"/>
        <v>0.83909999999999996</v>
      </c>
      <c r="T269" s="43">
        <f>S269-S271</f>
        <v>-1.4340000000000019E-2</v>
      </c>
      <c r="U269" s="1">
        <v>0.83909999999999996</v>
      </c>
      <c r="V269" s="43">
        <f>U269-U271</f>
        <v>-1.430000000000009E-2</v>
      </c>
      <c r="X269" s="79"/>
      <c r="Y269" s="17" t="s">
        <v>52</v>
      </c>
      <c r="Z269" s="16" t="e">
        <f>((1-Z266)*Z268)/Z266</f>
        <v>#DIV/0!</v>
      </c>
      <c r="AA269" s="54" t="e">
        <f t="shared" ref="AA269:AD269" si="128">((1-AA266)*AA268)/AA266</f>
        <v>#DIV/0!</v>
      </c>
      <c r="AB269" s="16" t="e">
        <f t="shared" si="128"/>
        <v>#DIV/0!</v>
      </c>
      <c r="AC269" s="16" t="e">
        <f t="shared" si="128"/>
        <v>#DIV/0!</v>
      </c>
      <c r="AD269" s="54" t="e">
        <f t="shared" si="128"/>
        <v>#DIV/0!</v>
      </c>
      <c r="AK269" s="26"/>
      <c r="AL269" s="26"/>
      <c r="AM269" s="26"/>
      <c r="AN269" s="26"/>
      <c r="AO269" s="26"/>
      <c r="AP269" s="1" t="e">
        <f t="shared" si="108"/>
        <v>#DIV/0!</v>
      </c>
      <c r="AQ269" s="43" t="e">
        <f>AP269-AP271</f>
        <v>#DIV/0!</v>
      </c>
      <c r="AS269" s="43">
        <f>AR269-AR271</f>
        <v>0</v>
      </c>
    </row>
    <row r="270" spans="1:45">
      <c r="A270" s="79"/>
      <c r="B270" s="16" t="s">
        <v>53</v>
      </c>
      <c r="C270" s="16">
        <f>144-72</f>
        <v>72</v>
      </c>
      <c r="D270" s="54">
        <f t="shared" ref="D270:G270" si="129">144-72</f>
        <v>72</v>
      </c>
      <c r="E270" s="16">
        <f t="shared" si="129"/>
        <v>72</v>
      </c>
      <c r="F270" s="16">
        <f t="shared" si="129"/>
        <v>72</v>
      </c>
      <c r="G270" s="54">
        <f t="shared" si="129"/>
        <v>72</v>
      </c>
      <c r="H270" s="16" t="s">
        <v>58</v>
      </c>
      <c r="I270" s="16" t="e">
        <f>C270-C269</f>
        <v>#DIV/0!</v>
      </c>
      <c r="J270" s="16" t="e">
        <f>D270-D269</f>
        <v>#DIV/0!</v>
      </c>
      <c r="K270" s="16" t="e">
        <f>E270-E269</f>
        <v>#DIV/0!</v>
      </c>
      <c r="L270" s="16" t="e">
        <f>F270-F269</f>
        <v>#DIV/0!</v>
      </c>
      <c r="M270" s="16" t="e">
        <f>G270-G269</f>
        <v>#DIV/0!</v>
      </c>
      <c r="N270" s="27">
        <v>0.90159999999999996</v>
      </c>
      <c r="O270" s="27">
        <v>0.75470000000000004</v>
      </c>
      <c r="P270" s="27">
        <v>0.87429999999999997</v>
      </c>
      <c r="Q270" s="27">
        <v>0.8226</v>
      </c>
      <c r="R270" s="27">
        <v>0.78259999999999996</v>
      </c>
      <c r="S270" s="1">
        <f t="shared" si="107"/>
        <v>0.8271599999999999</v>
      </c>
      <c r="T270" s="43">
        <f>S270-S271</f>
        <v>-2.6280000000000081E-2</v>
      </c>
      <c r="U270" s="1">
        <v>0.82720000000000005</v>
      </c>
      <c r="V270" s="43">
        <f>U270-U271</f>
        <v>-2.6200000000000001E-2</v>
      </c>
      <c r="X270" s="79"/>
      <c r="Y270" s="16" t="s">
        <v>53</v>
      </c>
      <c r="Z270" s="16">
        <f>144-72</f>
        <v>72</v>
      </c>
      <c r="AA270" s="54">
        <f t="shared" ref="AA270:AD270" si="130">144-72</f>
        <v>72</v>
      </c>
      <c r="AB270" s="16">
        <f t="shared" si="130"/>
        <v>72</v>
      </c>
      <c r="AC270" s="16">
        <f t="shared" si="130"/>
        <v>72</v>
      </c>
      <c r="AD270" s="54">
        <f t="shared" si="130"/>
        <v>72</v>
      </c>
      <c r="AE270" s="16" t="s">
        <v>58</v>
      </c>
      <c r="AF270" s="16" t="e">
        <f>Z270-Z269</f>
        <v>#DIV/0!</v>
      </c>
      <c r="AG270" s="16" t="e">
        <f>AA270-AA269</f>
        <v>#DIV/0!</v>
      </c>
      <c r="AH270" s="16" t="e">
        <f>AB270-AB269</f>
        <v>#DIV/0!</v>
      </c>
      <c r="AI270" s="16" t="e">
        <f>AC270-AC269</f>
        <v>#DIV/0!</v>
      </c>
      <c r="AJ270" s="16" t="e">
        <f>AD270-AD269</f>
        <v>#DIV/0!</v>
      </c>
      <c r="AK270" s="27"/>
      <c r="AL270" s="27"/>
      <c r="AM270" s="27"/>
      <c r="AN270" s="27"/>
      <c r="AO270" s="27"/>
      <c r="AP270" s="1" t="e">
        <f t="shared" si="108"/>
        <v>#DIV/0!</v>
      </c>
      <c r="AQ270" s="43" t="e">
        <f>AP270-AP271</f>
        <v>#DIV/0!</v>
      </c>
      <c r="AS270" s="43">
        <f>AR270-AR271</f>
        <v>0</v>
      </c>
    </row>
    <row r="271" spans="1:45" ht="16.5" thickBot="1">
      <c r="A271" s="79"/>
      <c r="B271" s="16" t="s">
        <v>54</v>
      </c>
      <c r="C271" s="16" t="e">
        <f>(1-C265)*C268/C265</f>
        <v>#DIV/0!</v>
      </c>
      <c r="D271" s="54" t="e">
        <f t="shared" ref="D271:G271" si="131">(1-D265)*D268/D265</f>
        <v>#DIV/0!</v>
      </c>
      <c r="E271" s="16" t="e">
        <f t="shared" si="131"/>
        <v>#DIV/0!</v>
      </c>
      <c r="F271" s="16" t="e">
        <f t="shared" si="131"/>
        <v>#DIV/0!</v>
      </c>
      <c r="G271" s="54" t="e">
        <f t="shared" si="131"/>
        <v>#DIV/0!</v>
      </c>
      <c r="N271" s="41">
        <v>0.92359999999999998</v>
      </c>
      <c r="O271" s="41">
        <v>0.7974</v>
      </c>
      <c r="P271" s="41">
        <v>0.92600000000000005</v>
      </c>
      <c r="Q271" s="42">
        <v>0.8337</v>
      </c>
      <c r="R271" s="42">
        <v>0.78649999999999998</v>
      </c>
      <c r="S271" s="1">
        <f t="shared" si="107"/>
        <v>0.85343999999999998</v>
      </c>
      <c r="T271" s="43"/>
      <c r="U271" s="1">
        <v>0.85340000000000005</v>
      </c>
      <c r="V271" s="43"/>
      <c r="X271" s="79"/>
      <c r="Y271" s="16" t="s">
        <v>54</v>
      </c>
      <c r="Z271" s="16" t="e">
        <f>(1-Z265)*Z268/Z265</f>
        <v>#DIV/0!</v>
      </c>
      <c r="AA271" s="54" t="e">
        <f t="shared" ref="AA271:AD271" si="132">(1-AA265)*AA268/AA265</f>
        <v>#DIV/0!</v>
      </c>
      <c r="AB271" s="16" t="e">
        <f t="shared" si="132"/>
        <v>#DIV/0!</v>
      </c>
      <c r="AC271" s="16" t="e">
        <f t="shared" si="132"/>
        <v>#DIV/0!</v>
      </c>
      <c r="AD271" s="54" t="e">
        <f t="shared" si="132"/>
        <v>#DIV/0!</v>
      </c>
      <c r="AK271" s="41"/>
      <c r="AL271" s="41"/>
      <c r="AM271" s="41"/>
      <c r="AN271" s="42"/>
      <c r="AO271" s="42"/>
      <c r="AP271" s="1" t="e">
        <f t="shared" si="108"/>
        <v>#DIV/0!</v>
      </c>
      <c r="AQ271" s="43"/>
      <c r="AS271" s="43"/>
    </row>
    <row r="272" spans="1:45">
      <c r="A272" s="79"/>
      <c r="B272" s="16" t="s">
        <v>55</v>
      </c>
      <c r="C272" s="16"/>
      <c r="D272" s="54"/>
      <c r="E272" s="16"/>
      <c r="F272" s="16"/>
      <c r="G272" s="54"/>
      <c r="N272" s="26">
        <v>0.71409999999999996</v>
      </c>
      <c r="O272" s="26">
        <v>0.78220000000000001</v>
      </c>
      <c r="P272" s="26">
        <v>0.92279999999999995</v>
      </c>
      <c r="Q272" s="26">
        <v>0.91859999999999997</v>
      </c>
      <c r="R272" s="26">
        <v>0.9</v>
      </c>
      <c r="S272" s="1">
        <f t="shared" si="107"/>
        <v>0.84754000000000007</v>
      </c>
      <c r="T272" s="43">
        <f>S272-S276</f>
        <v>-7.7679999999999971E-2</v>
      </c>
      <c r="U272" s="1">
        <v>0.84750000000000003</v>
      </c>
      <c r="V272" s="43">
        <f>U272-U276</f>
        <v>-7.7699999999999991E-2</v>
      </c>
      <c r="X272" s="79"/>
      <c r="Y272" s="16" t="s">
        <v>55</v>
      </c>
      <c r="Z272" s="16"/>
      <c r="AA272" s="54"/>
      <c r="AB272" s="16"/>
      <c r="AC272" s="16"/>
      <c r="AD272" s="54"/>
      <c r="AK272" s="26"/>
      <c r="AL272" s="26"/>
      <c r="AM272" s="26"/>
      <c r="AN272" s="26"/>
      <c r="AO272" s="26"/>
      <c r="AP272" s="1" t="e">
        <f t="shared" si="108"/>
        <v>#DIV/0!</v>
      </c>
      <c r="AQ272" s="43" t="e">
        <f>AP272-AP276</f>
        <v>#DIV/0!</v>
      </c>
      <c r="AS272" s="43">
        <f>AR272-AR276</f>
        <v>0</v>
      </c>
    </row>
    <row r="273" spans="1:45">
      <c r="A273" s="79"/>
      <c r="B273" s="16" t="s">
        <v>56</v>
      </c>
      <c r="C273" s="16"/>
      <c r="D273" s="54"/>
      <c r="E273" s="16"/>
      <c r="F273" s="16"/>
      <c r="G273" s="54"/>
      <c r="N273" s="26">
        <v>0.49680000000000002</v>
      </c>
      <c r="O273" s="26">
        <v>0.59540000000000004</v>
      </c>
      <c r="P273" s="26">
        <v>0.59409999999999996</v>
      </c>
      <c r="Q273" s="26">
        <v>0.57809999999999995</v>
      </c>
      <c r="R273" s="26">
        <v>0.56889999999999996</v>
      </c>
      <c r="S273" s="1">
        <f t="shared" si="107"/>
        <v>0.56666000000000005</v>
      </c>
      <c r="T273" s="43">
        <f>S273-S276</f>
        <v>-0.35855999999999999</v>
      </c>
      <c r="U273" s="1">
        <v>0.56669999999999998</v>
      </c>
      <c r="V273" s="43">
        <f>U273-U276</f>
        <v>-0.35850000000000004</v>
      </c>
      <c r="X273" s="79"/>
      <c r="Y273" s="16" t="s">
        <v>56</v>
      </c>
      <c r="Z273" s="16"/>
      <c r="AA273" s="54"/>
      <c r="AB273" s="16"/>
      <c r="AC273" s="16"/>
      <c r="AD273" s="54"/>
      <c r="AK273" s="26"/>
      <c r="AL273" s="26"/>
      <c r="AM273" s="26"/>
      <c r="AN273" s="26"/>
      <c r="AO273" s="26"/>
      <c r="AP273" s="1" t="e">
        <f t="shared" si="108"/>
        <v>#DIV/0!</v>
      </c>
      <c r="AQ273" s="43" t="e">
        <f>AP273-AP276</f>
        <v>#DIV/0!</v>
      </c>
      <c r="AS273" s="43">
        <f>AR273-AR276</f>
        <v>0</v>
      </c>
    </row>
    <row r="274" spans="1:45">
      <c r="A274" s="80"/>
      <c r="B274" s="16" t="s">
        <v>57</v>
      </c>
      <c r="C274" s="16"/>
      <c r="D274" s="54"/>
      <c r="E274" s="16"/>
      <c r="F274" s="16"/>
      <c r="G274" s="54"/>
      <c r="N274" s="26">
        <v>0.90969999999999995</v>
      </c>
      <c r="O274" s="26">
        <v>0.84909999999999997</v>
      </c>
      <c r="P274" s="26">
        <v>0.94069999999999998</v>
      </c>
      <c r="Q274" s="26">
        <v>0.91220000000000001</v>
      </c>
      <c r="R274" s="26">
        <v>0.90820000000000001</v>
      </c>
      <c r="S274" s="1">
        <f t="shared" si="107"/>
        <v>0.90398000000000001</v>
      </c>
      <c r="T274" s="43">
        <f>S274-S276</f>
        <v>-2.1240000000000037E-2</v>
      </c>
      <c r="U274" s="1">
        <v>0.90400000000000003</v>
      </c>
      <c r="V274" s="43">
        <f>U274-U276</f>
        <v>-2.1199999999999997E-2</v>
      </c>
      <c r="X274" s="80"/>
      <c r="Y274" s="16" t="s">
        <v>57</v>
      </c>
      <c r="Z274" s="16"/>
      <c r="AA274" s="54"/>
      <c r="AB274" s="16"/>
      <c r="AC274" s="16"/>
      <c r="AD274" s="54"/>
      <c r="AK274" s="26"/>
      <c r="AL274" s="26"/>
      <c r="AM274" s="26"/>
      <c r="AN274" s="26"/>
      <c r="AO274" s="26"/>
      <c r="AP274" s="1" t="e">
        <f t="shared" si="108"/>
        <v>#DIV/0!</v>
      </c>
      <c r="AQ274" s="43" t="e">
        <f>AP274-AP276</f>
        <v>#DIV/0!</v>
      </c>
      <c r="AS274" s="43">
        <f>AR274-AR276</f>
        <v>0</v>
      </c>
    </row>
    <row r="275" spans="1:45">
      <c r="A275" s="78" t="s">
        <v>65</v>
      </c>
      <c r="B275" s="24" t="s">
        <v>1</v>
      </c>
      <c r="C275" s="24">
        <v>0.58389999999999997</v>
      </c>
      <c r="D275" s="24">
        <v>0.4516</v>
      </c>
      <c r="E275" s="24">
        <v>0.26040000000000002</v>
      </c>
      <c r="F275" s="24">
        <v>0.2482</v>
      </c>
      <c r="G275" s="24">
        <v>0.24410000000000001</v>
      </c>
      <c r="N275" s="27">
        <v>0.90159999999999996</v>
      </c>
      <c r="O275" s="27">
        <v>0.83879999999999999</v>
      </c>
      <c r="P275" s="27">
        <v>0.91969999999999996</v>
      </c>
      <c r="Q275" s="27">
        <v>0.90269999999999995</v>
      </c>
      <c r="R275" s="27">
        <v>0.88400000000000001</v>
      </c>
      <c r="S275" s="1">
        <f t="shared" si="107"/>
        <v>0.88935999999999993</v>
      </c>
      <c r="T275" s="43">
        <f>S275-S276</f>
        <v>-3.5860000000000114E-2</v>
      </c>
      <c r="U275" s="1">
        <v>0.88939999999999997</v>
      </c>
      <c r="V275" s="43">
        <f>U275-U276</f>
        <v>-3.5800000000000054E-2</v>
      </c>
      <c r="X275" s="78" t="s">
        <v>65</v>
      </c>
      <c r="Y275" s="24" t="s">
        <v>1</v>
      </c>
      <c r="Z275" s="24"/>
      <c r="AA275" s="24">
        <v>0.48280000000000001</v>
      </c>
      <c r="AB275" s="24">
        <v>0.27360000000000001</v>
      </c>
      <c r="AC275" s="24">
        <v>0.35880000000000001</v>
      </c>
      <c r="AD275" s="24">
        <v>0.42609999999999998</v>
      </c>
      <c r="AK275" s="27"/>
      <c r="AL275" s="27"/>
      <c r="AM275" s="27"/>
      <c r="AN275" s="27"/>
      <c r="AO275" s="27"/>
      <c r="AP275" s="1" t="e">
        <f t="shared" si="108"/>
        <v>#DIV/0!</v>
      </c>
      <c r="AQ275" s="43" t="e">
        <f>AP275-AP276</f>
        <v>#DIV/0!</v>
      </c>
      <c r="AS275" s="43">
        <f>AR275-AR276</f>
        <v>0</v>
      </c>
    </row>
    <row r="276" spans="1:45" ht="16.5" thickBot="1">
      <c r="A276" s="79"/>
      <c r="B276" s="16" t="s">
        <v>2</v>
      </c>
      <c r="C276" s="16">
        <v>0.65280000000000005</v>
      </c>
      <c r="D276" s="16">
        <v>0.96550000000000002</v>
      </c>
      <c r="E276" s="16">
        <v>0.52380000000000004</v>
      </c>
      <c r="F276" s="16">
        <v>0.51480000000000004</v>
      </c>
      <c r="G276" s="16">
        <v>0.54469999999999996</v>
      </c>
      <c r="N276" s="41">
        <v>0.92359999999999998</v>
      </c>
      <c r="O276" s="41">
        <v>0.87739999999999996</v>
      </c>
      <c r="P276" s="41">
        <v>0.96089999999999998</v>
      </c>
      <c r="Q276" s="41">
        <v>0.95099999999999996</v>
      </c>
      <c r="R276" s="41">
        <v>0.91320000000000001</v>
      </c>
      <c r="S276" s="1">
        <f t="shared" si="107"/>
        <v>0.92522000000000004</v>
      </c>
      <c r="T276" s="43"/>
      <c r="U276" s="1">
        <v>0.92520000000000002</v>
      </c>
      <c r="V276" s="43"/>
      <c r="W276" s="43"/>
      <c r="X276" s="79"/>
      <c r="Y276" s="16" t="s">
        <v>2</v>
      </c>
      <c r="Z276" s="16"/>
      <c r="AA276" s="16">
        <v>0.72409999999999997</v>
      </c>
      <c r="AB276" s="16">
        <v>0.6905</v>
      </c>
      <c r="AC276" s="16">
        <v>0.72189999999999999</v>
      </c>
      <c r="AD276" s="16">
        <v>0.39839999999999998</v>
      </c>
      <c r="AK276" s="41"/>
      <c r="AL276" s="41"/>
      <c r="AM276" s="41"/>
      <c r="AN276" s="41"/>
      <c r="AO276" s="41"/>
      <c r="AP276" s="1" t="e">
        <f t="shared" si="108"/>
        <v>#DIV/0!</v>
      </c>
      <c r="AQ276" s="43"/>
      <c r="AS276" s="43"/>
    </row>
    <row r="277" spans="1:45">
      <c r="A277" s="79"/>
      <c r="B277" s="16" t="s">
        <v>47</v>
      </c>
      <c r="C277" s="16">
        <v>0.52810000000000001</v>
      </c>
      <c r="D277" s="16">
        <v>0.29470000000000002</v>
      </c>
      <c r="E277" s="16">
        <v>0.17319999999999999</v>
      </c>
      <c r="F277" s="16">
        <v>0.16350000000000001</v>
      </c>
      <c r="G277" s="16">
        <v>0.1573</v>
      </c>
      <c r="X277" s="79"/>
      <c r="Y277" s="16" t="s">
        <v>47</v>
      </c>
      <c r="Z277" s="16"/>
      <c r="AA277" s="16">
        <v>0.36209999999999998</v>
      </c>
      <c r="AB277" s="16">
        <v>0.1706</v>
      </c>
      <c r="AC277" s="16">
        <v>0.2387</v>
      </c>
      <c r="AD277" s="16">
        <v>0.45789999999999997</v>
      </c>
    </row>
    <row r="278" spans="1:45">
      <c r="A278" s="79"/>
      <c r="B278" s="16" t="s">
        <v>48</v>
      </c>
      <c r="C278" s="16">
        <f>1-0.5833</f>
        <v>0.41669999999999996</v>
      </c>
      <c r="D278" s="16">
        <f>1-0.8701</f>
        <v>0.12990000000000002</v>
      </c>
      <c r="E278" s="16">
        <f>1-0.3191</f>
        <v>0.68090000000000006</v>
      </c>
      <c r="F278" s="16">
        <f>1-0.398</f>
        <v>0.60199999999999998</v>
      </c>
      <c r="G278" s="16">
        <f>1-0.4136</f>
        <v>0.58640000000000003</v>
      </c>
      <c r="X278" s="79"/>
      <c r="Y278" s="16" t="s">
        <v>48</v>
      </c>
      <c r="Z278" s="16"/>
      <c r="AA278" s="16">
        <f>1-0.4805</f>
        <v>0.51950000000000007</v>
      </c>
      <c r="AB278" s="16">
        <f>1-0.4286</f>
        <v>0.57140000000000002</v>
      </c>
      <c r="AC278" s="16">
        <f>1-0.3479</f>
        <v>0.65210000000000001</v>
      </c>
      <c r="AD278" s="16">
        <f>1-0.0668</f>
        <v>0.93320000000000003</v>
      </c>
    </row>
    <row r="279" spans="1:45">
      <c r="A279" s="79"/>
      <c r="B279" s="16" t="s">
        <v>51</v>
      </c>
      <c r="C279" s="16">
        <f>72*C276</f>
        <v>47.001600000000003</v>
      </c>
      <c r="D279" s="16">
        <f t="shared" ref="D279:G279" si="133">72*D276</f>
        <v>69.516000000000005</v>
      </c>
      <c r="E279" s="16">
        <f t="shared" si="133"/>
        <v>37.7136</v>
      </c>
      <c r="F279" s="16">
        <f t="shared" si="133"/>
        <v>37.065600000000003</v>
      </c>
      <c r="G279" s="16">
        <f t="shared" si="133"/>
        <v>39.218399999999995</v>
      </c>
      <c r="X279" s="79"/>
      <c r="Y279" s="16" t="s">
        <v>51</v>
      </c>
      <c r="Z279" s="16">
        <f>72*Z276</f>
        <v>0</v>
      </c>
      <c r="AA279" s="16">
        <f t="shared" ref="AA279:AC279" si="134">72*AA276</f>
        <v>52.135199999999998</v>
      </c>
      <c r="AB279" s="16">
        <f t="shared" si="134"/>
        <v>49.716000000000001</v>
      </c>
      <c r="AC279" s="16">
        <f t="shared" si="134"/>
        <v>51.976799999999997</v>
      </c>
      <c r="AD279" s="16">
        <f>72*AD277</f>
        <v>32.968800000000002</v>
      </c>
    </row>
    <row r="280" spans="1:45">
      <c r="A280" s="79"/>
      <c r="B280" s="17" t="s">
        <v>52</v>
      </c>
      <c r="C280" s="16">
        <f>((1-C277)*C279)/C277</f>
        <v>41.999725506532847</v>
      </c>
      <c r="D280" s="16">
        <f t="shared" ref="D280:G280" si="135">((1-D277)*D279)/D277</f>
        <v>166.37134306073975</v>
      </c>
      <c r="E280" s="16">
        <f t="shared" si="135"/>
        <v>180.03235842956119</v>
      </c>
      <c r="F280" s="16">
        <f t="shared" si="135"/>
        <v>189.63531743119268</v>
      </c>
      <c r="G280" s="16">
        <f t="shared" si="135"/>
        <v>210.10391404958676</v>
      </c>
      <c r="X280" s="79"/>
      <c r="Y280" s="17" t="s">
        <v>52</v>
      </c>
      <c r="Z280" s="16" t="e">
        <f>((1-Z277)*Z279)/Z277</f>
        <v>#DIV/0!</v>
      </c>
      <c r="AA280" s="16">
        <f t="shared" ref="AA280:AC280" si="136">((1-AA277)*AA279)/AA277</f>
        <v>91.844915990057999</v>
      </c>
      <c r="AB280" s="16">
        <f t="shared" si="136"/>
        <v>241.70252286049237</v>
      </c>
      <c r="AC280" s="16">
        <f t="shared" si="136"/>
        <v>165.77267633012147</v>
      </c>
      <c r="AD280" s="16" t="e">
        <f>((1-#REF!)*AD279)/#REF!</f>
        <v>#REF!</v>
      </c>
    </row>
    <row r="281" spans="1:45">
      <c r="A281" s="79"/>
      <c r="B281" s="16" t="s">
        <v>53</v>
      </c>
      <c r="C281" s="16">
        <f>144-72</f>
        <v>72</v>
      </c>
      <c r="D281" s="16">
        <f t="shared" ref="D281:G281" si="137">144-72</f>
        <v>72</v>
      </c>
      <c r="E281" s="16">
        <f t="shared" si="137"/>
        <v>72</v>
      </c>
      <c r="F281" s="16">
        <f t="shared" si="137"/>
        <v>72</v>
      </c>
      <c r="G281" s="16">
        <f t="shared" si="137"/>
        <v>72</v>
      </c>
      <c r="H281" s="16" t="s">
        <v>58</v>
      </c>
      <c r="I281" s="16">
        <f>C281-C280</f>
        <v>30.000274493467153</v>
      </c>
      <c r="J281" s="16">
        <f>D281-D280</f>
        <v>-94.371343060739747</v>
      </c>
      <c r="K281" s="16">
        <f>E281-E280</f>
        <v>-108.03235842956119</v>
      </c>
      <c r="L281" s="16">
        <f>F281-F280</f>
        <v>-117.63531743119268</v>
      </c>
      <c r="M281" s="16">
        <f>G281-G280</f>
        <v>-138.10391404958676</v>
      </c>
      <c r="X281" s="79"/>
      <c r="Y281" s="16" t="s">
        <v>53</v>
      </c>
      <c r="Z281" s="16">
        <f>144-72</f>
        <v>72</v>
      </c>
      <c r="AA281" s="16">
        <f t="shared" ref="AA281:AD281" si="138">144-72</f>
        <v>72</v>
      </c>
      <c r="AB281" s="16">
        <f t="shared" si="138"/>
        <v>72</v>
      </c>
      <c r="AC281" s="16">
        <f t="shared" si="138"/>
        <v>72</v>
      </c>
      <c r="AD281" s="16">
        <f t="shared" si="138"/>
        <v>72</v>
      </c>
      <c r="AE281" s="16" t="s">
        <v>58</v>
      </c>
      <c r="AF281" s="16" t="e">
        <f>Z281-Z280</f>
        <v>#DIV/0!</v>
      </c>
      <c r="AG281" s="16">
        <f>AA281-AA280</f>
        <v>-19.844915990057999</v>
      </c>
      <c r="AH281" s="16">
        <f>AB281-AB280</f>
        <v>-169.70252286049237</v>
      </c>
      <c r="AI281" s="16">
        <f>AC281-AC280</f>
        <v>-93.77267633012147</v>
      </c>
      <c r="AJ281" s="16" t="e">
        <f>AD281-AD280</f>
        <v>#REF!</v>
      </c>
    </row>
    <row r="282" spans="1:45">
      <c r="A282" s="79"/>
      <c r="B282" s="16" t="s">
        <v>54</v>
      </c>
      <c r="C282" s="16">
        <f>(1-C276)*C279/C276</f>
        <v>24.998399999999997</v>
      </c>
      <c r="D282" s="16">
        <f t="shared" ref="D282:G282" si="139">(1-D276)*D279/D276</f>
        <v>2.4839999999999982</v>
      </c>
      <c r="E282" s="16">
        <f t="shared" si="139"/>
        <v>34.286399999999993</v>
      </c>
      <c r="F282" s="16">
        <f t="shared" si="139"/>
        <v>34.934400000000004</v>
      </c>
      <c r="G282" s="16">
        <f t="shared" si="139"/>
        <v>32.781600000000005</v>
      </c>
      <c r="X282" s="79"/>
      <c r="Y282" s="16" t="s">
        <v>54</v>
      </c>
      <c r="Z282" s="16" t="e">
        <f>(1-Z276)*Z279/Z276</f>
        <v>#DIV/0!</v>
      </c>
      <c r="AA282" s="16">
        <f t="shared" ref="AA282:AC282" si="140">(1-AA276)*AA279/AA276</f>
        <v>19.864800000000002</v>
      </c>
      <c r="AB282" s="16">
        <f t="shared" si="140"/>
        <v>22.283999999999999</v>
      </c>
      <c r="AC282" s="16">
        <f t="shared" si="140"/>
        <v>20.023199999999999</v>
      </c>
      <c r="AD282" s="16">
        <f>(1-AD277)*AD279/AD277</f>
        <v>39.031200000000005</v>
      </c>
    </row>
    <row r="283" spans="1:45">
      <c r="A283" s="79"/>
      <c r="B283" s="16" t="s">
        <v>55</v>
      </c>
      <c r="C283" s="16">
        <v>7.1499999999999994E-2</v>
      </c>
      <c r="D283" s="16">
        <v>0.1394</v>
      </c>
      <c r="E283" s="16">
        <v>0.13669999999999999</v>
      </c>
      <c r="F283" s="16">
        <v>8.0100000000000005E-2</v>
      </c>
      <c r="G283" s="16">
        <v>8.7300000000000003E-2</v>
      </c>
      <c r="X283" s="79"/>
      <c r="Y283" s="16" t="s">
        <v>55</v>
      </c>
      <c r="Z283" s="16"/>
      <c r="AA283" s="16">
        <v>0.21820000000000001</v>
      </c>
      <c r="AB283" s="16">
        <v>0.16650000000000001</v>
      </c>
      <c r="AC283" s="16">
        <v>0.2581</v>
      </c>
      <c r="AD283" s="16">
        <v>0.35220000000000001</v>
      </c>
    </row>
    <row r="284" spans="1:45">
      <c r="A284" s="79"/>
      <c r="B284" s="16" t="s">
        <v>56</v>
      </c>
      <c r="C284" s="16">
        <v>0.53469999999999995</v>
      </c>
      <c r="D284" s="16">
        <v>0.54769999999999996</v>
      </c>
      <c r="E284" s="16">
        <v>0.60229999999999995</v>
      </c>
      <c r="F284" s="16">
        <v>0.55840000000000001</v>
      </c>
      <c r="G284" s="16">
        <v>0.56559999999999999</v>
      </c>
      <c r="X284" s="79"/>
      <c r="Y284" s="16" t="s">
        <v>56</v>
      </c>
      <c r="Z284" s="16"/>
      <c r="AA284" s="16">
        <v>0.62180000000000002</v>
      </c>
      <c r="AB284" s="16">
        <v>0.63100000000000001</v>
      </c>
      <c r="AC284" s="16">
        <v>0.68700000000000006</v>
      </c>
      <c r="AD284" s="16">
        <v>0.66579999999999995</v>
      </c>
    </row>
    <row r="285" spans="1:45">
      <c r="A285" s="80"/>
      <c r="B285" s="16" t="s">
        <v>57</v>
      </c>
      <c r="C285" s="16">
        <v>0.53469999999999995</v>
      </c>
      <c r="D285" s="16">
        <v>0.35849999999999999</v>
      </c>
      <c r="E285" s="16">
        <v>0.66310000000000002</v>
      </c>
      <c r="F285" s="16">
        <v>0.59050000000000002</v>
      </c>
      <c r="G285" s="16">
        <v>0.58120000000000005</v>
      </c>
      <c r="X285" s="80"/>
      <c r="Y285" s="16" t="s">
        <v>57</v>
      </c>
      <c r="Z285" s="16"/>
      <c r="AA285" s="16">
        <v>0.57550000000000001</v>
      </c>
      <c r="AB285" s="16">
        <v>0.58489999999999998</v>
      </c>
      <c r="AC285" s="16">
        <v>0.66120000000000001</v>
      </c>
      <c r="AD285" s="16">
        <v>0.86680000000000001</v>
      </c>
    </row>
    <row r="286" spans="1:45">
      <c r="A286" s="78" t="s">
        <v>95</v>
      </c>
      <c r="B286" s="24" t="s">
        <v>1</v>
      </c>
      <c r="C286" s="70">
        <v>0.68359999999999999</v>
      </c>
      <c r="D286" s="70">
        <v>0.42970000000000003</v>
      </c>
      <c r="E286" s="70">
        <v>0.67869999999999997</v>
      </c>
      <c r="F286" s="70">
        <v>0.62470000000000003</v>
      </c>
      <c r="G286" s="70">
        <v>0.50119999999999998</v>
      </c>
      <c r="X286" s="78" t="s">
        <v>95</v>
      </c>
      <c r="Y286" s="24" t="s">
        <v>1</v>
      </c>
      <c r="Z286" s="70"/>
      <c r="AA286" s="70"/>
      <c r="AB286" s="70"/>
      <c r="AC286" s="70"/>
      <c r="AD286" s="70"/>
    </row>
    <row r="287" spans="1:45">
      <c r="A287" s="79"/>
      <c r="B287" s="16" t="s">
        <v>2</v>
      </c>
      <c r="C287" s="71">
        <v>0.63890000000000002</v>
      </c>
      <c r="D287" s="71">
        <v>0.31319999999999998</v>
      </c>
      <c r="E287" s="71">
        <v>0.70040000000000002</v>
      </c>
      <c r="F287" s="71">
        <v>0.53210000000000002</v>
      </c>
      <c r="G287" s="71">
        <v>0.42209999999999998</v>
      </c>
      <c r="X287" s="79"/>
      <c r="Y287" s="16" t="s">
        <v>2</v>
      </c>
      <c r="Z287" s="71"/>
      <c r="AA287" s="71"/>
      <c r="AB287" s="71"/>
      <c r="AC287" s="71"/>
      <c r="AD287" s="71"/>
    </row>
    <row r="288" spans="1:45">
      <c r="A288" s="79"/>
      <c r="B288" s="16" t="s">
        <v>47</v>
      </c>
      <c r="C288" s="71">
        <v>0.76339999999999997</v>
      </c>
      <c r="D288" s="71">
        <v>0.79510000000000003</v>
      </c>
      <c r="E288" s="71">
        <v>0.69379999999999997</v>
      </c>
      <c r="F288" s="71">
        <v>0.80640000000000001</v>
      </c>
      <c r="G288" s="71">
        <v>0.68</v>
      </c>
      <c r="X288" s="79"/>
      <c r="Y288" s="16" t="s">
        <v>47</v>
      </c>
      <c r="Z288" s="71"/>
      <c r="AA288" s="71"/>
      <c r="AB288" s="71"/>
      <c r="AC288" s="71"/>
      <c r="AD288" s="71"/>
    </row>
    <row r="289" spans="1:36">
      <c r="A289" s="79"/>
      <c r="B289" s="16" t="s">
        <v>48</v>
      </c>
      <c r="C289" s="71">
        <f>1-0.2106</f>
        <v>0.78939999999999999</v>
      </c>
      <c r="D289" s="71">
        <v>0.95889999999999997</v>
      </c>
      <c r="E289" s="71">
        <v>0.95130000000000003</v>
      </c>
      <c r="F289" s="71">
        <v>0.97689999999999999</v>
      </c>
      <c r="G289" s="71">
        <v>0.9677</v>
      </c>
      <c r="X289" s="79"/>
      <c r="Y289" s="16" t="s">
        <v>48</v>
      </c>
      <c r="Z289" s="71"/>
      <c r="AA289" s="71"/>
      <c r="AB289" s="71"/>
      <c r="AC289" s="71"/>
      <c r="AD289" s="71"/>
    </row>
    <row r="290" spans="1:36">
      <c r="A290" s="79"/>
      <c r="B290" s="16" t="s">
        <v>51</v>
      </c>
      <c r="C290" s="16">
        <f>72*C287</f>
        <v>46.000799999999998</v>
      </c>
      <c r="D290" s="16">
        <f t="shared" ref="D290:G290" si="141">72*D287</f>
        <v>22.5504</v>
      </c>
      <c r="E290" s="16">
        <f t="shared" si="141"/>
        <v>50.428800000000003</v>
      </c>
      <c r="F290" s="16">
        <f t="shared" si="141"/>
        <v>38.311199999999999</v>
      </c>
      <c r="G290" s="16">
        <f t="shared" si="141"/>
        <v>30.391199999999998</v>
      </c>
      <c r="X290" s="79"/>
      <c r="Y290" s="16" t="s">
        <v>51</v>
      </c>
      <c r="Z290" s="16">
        <f>72*Z287</f>
        <v>0</v>
      </c>
      <c r="AA290" s="16">
        <f t="shared" ref="AA290:AD290" si="142">72*AA287</f>
        <v>0</v>
      </c>
      <c r="AB290" s="16">
        <f t="shared" si="142"/>
        <v>0</v>
      </c>
      <c r="AC290" s="16">
        <f t="shared" si="142"/>
        <v>0</v>
      </c>
      <c r="AD290" s="16">
        <f t="shared" si="142"/>
        <v>0</v>
      </c>
    </row>
    <row r="291" spans="1:36">
      <c r="A291" s="79"/>
      <c r="B291" s="17" t="s">
        <v>52</v>
      </c>
      <c r="C291" s="16">
        <f>((1-C288)*C290)/C288</f>
        <v>14.256994079119728</v>
      </c>
      <c r="D291" s="16">
        <f t="shared" ref="D291:G291" si="143">((1-D288)*D290)/D288</f>
        <v>5.811315507483334</v>
      </c>
      <c r="E291" s="16">
        <f t="shared" si="143"/>
        <v>22.256123609109256</v>
      </c>
      <c r="F291" s="16">
        <f t="shared" si="143"/>
        <v>9.1977285714285699</v>
      </c>
      <c r="G291" s="16">
        <f t="shared" si="143"/>
        <v>14.301741176470582</v>
      </c>
      <c r="X291" s="79"/>
      <c r="Y291" s="17" t="s">
        <v>52</v>
      </c>
      <c r="Z291" s="16" t="e">
        <f>((1-Z288)*Z290)/Z288</f>
        <v>#DIV/0!</v>
      </c>
      <c r="AA291" s="16" t="e">
        <f t="shared" ref="AA291:AD291" si="144">((1-AA288)*AA290)/AA288</f>
        <v>#DIV/0!</v>
      </c>
      <c r="AB291" s="16" t="e">
        <f t="shared" si="144"/>
        <v>#DIV/0!</v>
      </c>
      <c r="AC291" s="16" t="e">
        <f t="shared" si="144"/>
        <v>#DIV/0!</v>
      </c>
      <c r="AD291" s="16" t="e">
        <f t="shared" si="144"/>
        <v>#DIV/0!</v>
      </c>
    </row>
    <row r="292" spans="1:36">
      <c r="A292" s="79"/>
      <c r="B292" s="16" t="s">
        <v>53</v>
      </c>
      <c r="C292" s="16">
        <f>144-72</f>
        <v>72</v>
      </c>
      <c r="D292" s="16">
        <f t="shared" ref="D292:G292" si="145">144-72</f>
        <v>72</v>
      </c>
      <c r="E292" s="16">
        <f t="shared" si="145"/>
        <v>72</v>
      </c>
      <c r="F292" s="16">
        <f t="shared" si="145"/>
        <v>72</v>
      </c>
      <c r="G292" s="16">
        <f t="shared" si="145"/>
        <v>72</v>
      </c>
      <c r="H292" s="16" t="s">
        <v>58</v>
      </c>
      <c r="I292" s="16">
        <f>C292-C291</f>
        <v>57.743005920880272</v>
      </c>
      <c r="J292" s="16">
        <f>D292-D291</f>
        <v>66.188684492516671</v>
      </c>
      <c r="K292" s="16">
        <f>E292-E291</f>
        <v>49.743876390890748</v>
      </c>
      <c r="L292" s="16">
        <f>F292-F291</f>
        <v>62.80227142857143</v>
      </c>
      <c r="M292" s="16">
        <f>G292-G291</f>
        <v>57.698258823529414</v>
      </c>
      <c r="X292" s="79"/>
      <c r="Y292" s="16" t="s">
        <v>53</v>
      </c>
      <c r="Z292" s="16">
        <f>144-72</f>
        <v>72</v>
      </c>
      <c r="AA292" s="16">
        <f t="shared" ref="AA292:AD292" si="146">144-72</f>
        <v>72</v>
      </c>
      <c r="AB292" s="16">
        <f t="shared" si="146"/>
        <v>72</v>
      </c>
      <c r="AC292" s="16">
        <f t="shared" si="146"/>
        <v>72</v>
      </c>
      <c r="AD292" s="16">
        <f t="shared" si="146"/>
        <v>72</v>
      </c>
      <c r="AE292" s="16" t="s">
        <v>58</v>
      </c>
      <c r="AF292" s="16" t="e">
        <f>Z292-Z291</f>
        <v>#DIV/0!</v>
      </c>
      <c r="AG292" s="16" t="e">
        <f>AA292-AA291</f>
        <v>#DIV/0!</v>
      </c>
      <c r="AH292" s="16" t="e">
        <f>AB292-AB291</f>
        <v>#DIV/0!</v>
      </c>
      <c r="AI292" s="16" t="e">
        <f>AC292-AC291</f>
        <v>#DIV/0!</v>
      </c>
      <c r="AJ292" s="16" t="e">
        <f>AD292-AD291</f>
        <v>#DIV/0!</v>
      </c>
    </row>
    <row r="293" spans="1:36">
      <c r="A293" s="79"/>
      <c r="B293" s="16" t="s">
        <v>54</v>
      </c>
      <c r="C293" s="16">
        <f>(1-C287)*C290/C287</f>
        <v>25.999199999999995</v>
      </c>
      <c r="D293" s="16">
        <f t="shared" ref="D293:G293" si="147">(1-D287)*D290/D287</f>
        <v>49.449600000000011</v>
      </c>
      <c r="E293" s="16">
        <f t="shared" si="147"/>
        <v>21.571199999999997</v>
      </c>
      <c r="F293" s="16">
        <f t="shared" si="147"/>
        <v>33.688800000000001</v>
      </c>
      <c r="G293" s="16">
        <f t="shared" si="147"/>
        <v>41.608800000000002</v>
      </c>
      <c r="X293" s="79"/>
      <c r="Y293" s="16" t="s">
        <v>54</v>
      </c>
      <c r="Z293" s="16" t="e">
        <f>(1-Z287)*Z290/Z287</f>
        <v>#DIV/0!</v>
      </c>
      <c r="AA293" s="16" t="e">
        <f t="shared" ref="AA293:AD293" si="148">(1-AA287)*AA290/AA287</f>
        <v>#DIV/0!</v>
      </c>
      <c r="AB293" s="16" t="e">
        <f t="shared" si="148"/>
        <v>#DIV/0!</v>
      </c>
      <c r="AC293" s="16" t="e">
        <f t="shared" si="148"/>
        <v>#DIV/0!</v>
      </c>
      <c r="AD293" s="16" t="e">
        <f t="shared" si="148"/>
        <v>#DIV/0!</v>
      </c>
    </row>
    <row r="294" spans="1:36">
      <c r="A294" s="79"/>
      <c r="B294" s="16" t="s">
        <v>55</v>
      </c>
      <c r="C294" s="71">
        <v>0.44479999999999997</v>
      </c>
      <c r="D294" s="71">
        <v>0.39140000000000003</v>
      </c>
      <c r="E294" s="71">
        <v>0.64739999999999998</v>
      </c>
      <c r="F294" s="71">
        <v>0.60660000000000003</v>
      </c>
      <c r="G294" s="71">
        <v>0.47610000000000002</v>
      </c>
      <c r="X294" s="79"/>
      <c r="Y294" s="16" t="s">
        <v>55</v>
      </c>
      <c r="Z294" s="71"/>
      <c r="AA294" s="71"/>
      <c r="AB294" s="71"/>
      <c r="AC294" s="71"/>
      <c r="AD294" s="71"/>
    </row>
    <row r="295" spans="1:36">
      <c r="A295" s="79"/>
      <c r="B295" s="16" t="s">
        <v>56</v>
      </c>
      <c r="C295" s="71">
        <v>0.71409999999999996</v>
      </c>
      <c r="D295" s="71">
        <v>0.63600000000000001</v>
      </c>
      <c r="E295" s="71">
        <v>0.82579999999999998</v>
      </c>
      <c r="F295" s="71">
        <v>0.75449999999999995</v>
      </c>
      <c r="G295" s="71">
        <v>0.69489999999999996</v>
      </c>
      <c r="X295" s="79"/>
      <c r="Y295" s="16" t="s">
        <v>56</v>
      </c>
      <c r="Z295" s="71"/>
      <c r="AA295" s="71"/>
      <c r="AB295" s="71"/>
      <c r="AC295" s="71"/>
      <c r="AD295" s="71"/>
    </row>
    <row r="296" spans="1:36">
      <c r="A296" s="80"/>
      <c r="B296" s="16" t="s">
        <v>57</v>
      </c>
      <c r="C296" s="71">
        <v>0.71409999999999996</v>
      </c>
      <c r="D296" s="71">
        <v>0.78220000000000001</v>
      </c>
      <c r="E296" s="71">
        <v>0.92279999999999995</v>
      </c>
      <c r="F296" s="71">
        <v>0.91859999999999997</v>
      </c>
      <c r="G296" s="71">
        <v>0.9</v>
      </c>
      <c r="X296" s="80"/>
      <c r="Y296" s="16" t="s">
        <v>57</v>
      </c>
      <c r="Z296" s="71"/>
      <c r="AA296" s="71"/>
      <c r="AB296" s="71"/>
      <c r="AC296" s="71"/>
      <c r="AD296" s="71"/>
    </row>
    <row r="302" spans="1:36" ht="33">
      <c r="A302" s="50" t="s">
        <v>94</v>
      </c>
    </row>
    <row r="303" spans="1:36">
      <c r="A303" s="16"/>
      <c r="B303" s="16"/>
      <c r="C303" s="25" t="s">
        <v>43</v>
      </c>
      <c r="D303" s="25" t="s">
        <v>62</v>
      </c>
      <c r="E303" s="25" t="s">
        <v>8</v>
      </c>
      <c r="F303" s="25" t="s">
        <v>24</v>
      </c>
      <c r="G303" s="25" t="s">
        <v>19</v>
      </c>
    </row>
    <row r="304" spans="1:36">
      <c r="A304" s="78" t="s">
        <v>90</v>
      </c>
      <c r="B304" s="24" t="s">
        <v>1</v>
      </c>
      <c r="C304" s="24">
        <v>0.93879999999999997</v>
      </c>
      <c r="D304" s="24">
        <v>0.8</v>
      </c>
      <c r="E304" s="68">
        <f>(2*E305*E306)/(E305+E306)</f>
        <v>0.85029940119760472</v>
      </c>
      <c r="F304" s="68">
        <f>(2*F305*F306)/(F305+F306)</f>
        <v>0.74712643678160917</v>
      </c>
      <c r="G304" s="69">
        <v>0.81299999999999994</v>
      </c>
    </row>
    <row r="305" spans="1:13">
      <c r="A305" s="79"/>
      <c r="B305" s="16" t="s">
        <v>2</v>
      </c>
      <c r="C305" s="16">
        <v>0.95830000000000004</v>
      </c>
      <c r="D305" s="16">
        <v>0.8276</v>
      </c>
      <c r="E305" s="29">
        <f>71/84</f>
        <v>0.84523809523809523</v>
      </c>
      <c r="F305" s="29">
        <v>0.76923076923076905</v>
      </c>
      <c r="G305" s="67">
        <v>0.81299999999999994</v>
      </c>
    </row>
    <row r="306" spans="1:13">
      <c r="A306" s="79"/>
      <c r="B306" s="16" t="s">
        <v>47</v>
      </c>
      <c r="C306" s="16">
        <v>0.92</v>
      </c>
      <c r="D306" s="16">
        <v>0.7742</v>
      </c>
      <c r="E306" s="29">
        <f>71/(71+12)</f>
        <v>0.85542168674698793</v>
      </c>
      <c r="F306" s="29">
        <f>130/(130+49)</f>
        <v>0.72625698324022347</v>
      </c>
      <c r="G306" s="67">
        <v>0.81299999999999994</v>
      </c>
    </row>
    <row r="307" spans="1:13">
      <c r="A307" s="79"/>
      <c r="B307" s="16" t="s">
        <v>48</v>
      </c>
      <c r="C307" s="16">
        <f>1-0.0833</f>
        <v>0.91669999999999996</v>
      </c>
      <c r="D307" s="16">
        <f>1-0.0909</f>
        <v>0.90910000000000002</v>
      </c>
      <c r="E307" s="29">
        <f>K284/E310</f>
        <v>0</v>
      </c>
      <c r="F307" s="29">
        <f>L284/F310</f>
        <v>0</v>
      </c>
      <c r="G307" s="67">
        <f>1-0.0265</f>
        <v>0.97350000000000003</v>
      </c>
    </row>
    <row r="308" spans="1:13">
      <c r="A308" s="79"/>
      <c r="B308" s="16" t="s">
        <v>51</v>
      </c>
      <c r="C308" s="16">
        <f>72*C305</f>
        <v>68.997600000000006</v>
      </c>
      <c r="D308" s="16">
        <f>29*D305</f>
        <v>24.000399999999999</v>
      </c>
      <c r="E308" s="29">
        <f>84*E305</f>
        <v>71</v>
      </c>
      <c r="F308" s="29">
        <f>169*F305</f>
        <v>129.99999999999997</v>
      </c>
      <c r="G308" s="67">
        <f>123*G305</f>
        <v>99.998999999999995</v>
      </c>
    </row>
    <row r="309" spans="1:13">
      <c r="A309" s="79"/>
      <c r="B309" s="16" t="s">
        <v>52</v>
      </c>
      <c r="C309" s="16">
        <f>((1-C306)*C308)/C306</f>
        <v>5.9997913043478235</v>
      </c>
      <c r="D309" s="16">
        <f>((1-D306)*D308)/D306</f>
        <v>6.9998583311805733</v>
      </c>
      <c r="E309" s="29">
        <f>((1-E306)*E308)/E306</f>
        <v>12.000000000000002</v>
      </c>
      <c r="F309" s="29">
        <f>((1-F306)*F308)/F306</f>
        <v>48.999999999999986</v>
      </c>
      <c r="G309" s="67">
        <f>((1-G306)*G308)/G306</f>
        <v>23.001000000000008</v>
      </c>
    </row>
    <row r="310" spans="1:13">
      <c r="A310" s="79"/>
      <c r="B310" s="16" t="s">
        <v>53</v>
      </c>
      <c r="C310" s="16">
        <f>144-72</f>
        <v>72</v>
      </c>
      <c r="D310" s="16">
        <f>106-29</f>
        <v>77</v>
      </c>
      <c r="E310" s="29">
        <f>742-84</f>
        <v>658</v>
      </c>
      <c r="F310" s="29">
        <f>1288-169</f>
        <v>1119</v>
      </c>
      <c r="G310" s="67">
        <f>991-123</f>
        <v>868</v>
      </c>
      <c r="H310" s="66" t="s">
        <v>58</v>
      </c>
      <c r="I310" s="23">
        <f>C310-C309</f>
        <v>66.000208695652177</v>
      </c>
      <c r="J310" s="23">
        <f>D310-D309</f>
        <v>70.000141668819424</v>
      </c>
      <c r="K310" s="16">
        <f>E310-E309</f>
        <v>646</v>
      </c>
      <c r="L310" s="16">
        <f>F310-F309</f>
        <v>1070</v>
      </c>
      <c r="M310" s="16">
        <f>G310-G309</f>
        <v>844.99900000000002</v>
      </c>
    </row>
    <row r="311" spans="1:13">
      <c r="A311" s="79"/>
      <c r="B311" s="16" t="s">
        <v>54</v>
      </c>
      <c r="C311" s="16">
        <f>(1-C305)*C308/C305</f>
        <v>3.0023999999999975</v>
      </c>
      <c r="D311" s="16">
        <f>(1-D305)*D308/D305</f>
        <v>4.9996</v>
      </c>
      <c r="E311" s="29">
        <f>(1-E305)*E308/E305</f>
        <v>13.000000000000002</v>
      </c>
      <c r="F311" s="29">
        <f>(1-F305)*F308/F305</f>
        <v>39.000000000000036</v>
      </c>
      <c r="G311" s="67">
        <f>(1-G305)*G308/G305</f>
        <v>23.001000000000008</v>
      </c>
    </row>
    <row r="312" spans="1:13">
      <c r="A312" s="79"/>
      <c r="B312" s="16" t="s">
        <v>55</v>
      </c>
      <c r="C312" s="16">
        <v>0.87580000000000002</v>
      </c>
      <c r="D312" s="16">
        <v>0.72199999999999998</v>
      </c>
      <c r="E312" s="29">
        <f>(E308*K284-E309*E311)/(POWER(((E308+E309)*(E308+E311)*(K284+E309)*(K284+E311)),0.5))</f>
        <v>-0.1495834721695532</v>
      </c>
      <c r="F312" s="29">
        <f>(F308*L284-F309*F311)/(POWER(((F308+F309)*(F308+F311)*(L284+F309)*(L284+F311)),0.5))</f>
        <v>-0.25133934313215339</v>
      </c>
      <c r="G312" s="67">
        <v>0.78649999999999998</v>
      </c>
    </row>
    <row r="313" spans="1:13">
      <c r="A313" s="79"/>
      <c r="B313" s="16" t="s">
        <v>56</v>
      </c>
      <c r="C313" s="16">
        <v>0.9375</v>
      </c>
      <c r="D313" s="16">
        <v>0.86829999999999996</v>
      </c>
      <c r="E313" s="29">
        <f>(E305*(1-E307))/2+(E305+1)*E307/2</f>
        <v>0.42261904761904762</v>
      </c>
      <c r="F313" s="29">
        <f>(F305*(1-F307))/2+(F305+1)*F307/2</f>
        <v>0.38461538461538453</v>
      </c>
      <c r="G313" s="67">
        <v>0.89329999999999998</v>
      </c>
    </row>
    <row r="314" spans="1:13">
      <c r="A314" s="80"/>
      <c r="B314" s="16" t="s">
        <v>57</v>
      </c>
      <c r="C314" s="16">
        <v>0.9375</v>
      </c>
      <c r="D314" s="16">
        <v>0.88680000000000003</v>
      </c>
      <c r="E314" s="29">
        <f>(E308+K284)/(E308+E309+E311+K284)</f>
        <v>0.73958333333333337</v>
      </c>
      <c r="F314" s="29">
        <f>(F308+L284)/(F308+F309+F311+L284)</f>
        <v>0.59633027522935778</v>
      </c>
      <c r="G314" s="67">
        <v>0.9536</v>
      </c>
    </row>
    <row r="315" spans="1:13">
      <c r="A315" s="78" t="s">
        <v>88</v>
      </c>
      <c r="B315" s="24" t="s">
        <v>1</v>
      </c>
      <c r="C315" s="24">
        <v>0.93879999999999997</v>
      </c>
      <c r="D315" s="24">
        <v>0.80649999999999999</v>
      </c>
      <c r="E315" s="24">
        <v>0.90449999999999997</v>
      </c>
      <c r="F315" s="24">
        <v>0.76449999999999996</v>
      </c>
      <c r="G315" s="24">
        <v>0.78200000000000003</v>
      </c>
    </row>
    <row r="316" spans="1:13">
      <c r="A316" s="79"/>
      <c r="B316" s="16" t="s">
        <v>2</v>
      </c>
      <c r="C316" s="16">
        <v>0.95830000000000004</v>
      </c>
      <c r="D316" s="16">
        <v>0.86209999999999998</v>
      </c>
      <c r="E316" s="16">
        <v>0.84519999999999995</v>
      </c>
      <c r="F316" s="16">
        <v>0.81659999999999999</v>
      </c>
      <c r="G316" s="16">
        <v>0.84550000000000003</v>
      </c>
    </row>
    <row r="317" spans="1:13">
      <c r="A317" s="79"/>
      <c r="B317" s="16" t="s">
        <v>47</v>
      </c>
      <c r="C317" s="16">
        <v>0.92</v>
      </c>
      <c r="D317" s="16">
        <v>0.75760000000000005</v>
      </c>
      <c r="E317" s="16">
        <v>0.97260000000000002</v>
      </c>
      <c r="F317" s="16">
        <v>0.71879999999999999</v>
      </c>
      <c r="G317" s="16">
        <v>0.72729999999999995</v>
      </c>
    </row>
    <row r="318" spans="1:13">
      <c r="A318" s="79"/>
      <c r="B318" s="16" t="s">
        <v>48</v>
      </c>
      <c r="C318" s="16">
        <f>1-0.0833</f>
        <v>0.91669999999999996</v>
      </c>
      <c r="D318" s="16">
        <f>1-0.1039</f>
        <v>0.89610000000000001</v>
      </c>
      <c r="E318" s="16">
        <f>1-0.003</f>
        <v>0.997</v>
      </c>
      <c r="F318" s="16">
        <f>1-0.0483</f>
        <v>0.95169999999999999</v>
      </c>
      <c r="G318" s="16">
        <f>1-0.0449</f>
        <v>0.95509999999999995</v>
      </c>
    </row>
    <row r="319" spans="1:13">
      <c r="A319" s="79"/>
      <c r="B319" s="16" t="s">
        <v>51</v>
      </c>
      <c r="C319" s="16">
        <f>72*C316</f>
        <v>68.997600000000006</v>
      </c>
      <c r="D319" s="16">
        <f>29*D316</f>
        <v>25.000899999999998</v>
      </c>
      <c r="E319" s="16">
        <f>84*E316</f>
        <v>70.996799999999993</v>
      </c>
      <c r="F319" s="16">
        <f>169*F316</f>
        <v>138.00540000000001</v>
      </c>
      <c r="G319" s="16">
        <f>123*G316</f>
        <v>103.9965</v>
      </c>
    </row>
    <row r="320" spans="1:13">
      <c r="A320" s="79"/>
      <c r="B320" s="16" t="s">
        <v>52</v>
      </c>
      <c r="C320" s="16">
        <f>((1-C317)*C319)/C317</f>
        <v>5.9997913043478235</v>
      </c>
      <c r="D320" s="16">
        <f t="shared" ref="D320:G320" si="149">((1-D317)*D319)/D317</f>
        <v>7.9992319957761318</v>
      </c>
      <c r="E320" s="16">
        <f t="shared" si="149"/>
        <v>2.0001154842689681</v>
      </c>
      <c r="F320" s="16">
        <f t="shared" si="149"/>
        <v>53.988756928213689</v>
      </c>
      <c r="G320" s="16">
        <f t="shared" si="149"/>
        <v>38.993325381548203</v>
      </c>
    </row>
    <row r="321" spans="1:13">
      <c r="A321" s="79"/>
      <c r="B321" s="16" t="s">
        <v>53</v>
      </c>
      <c r="C321" s="16">
        <f>144-72</f>
        <v>72</v>
      </c>
      <c r="D321" s="16">
        <f>106-29</f>
        <v>77</v>
      </c>
      <c r="E321" s="16">
        <f>742-84</f>
        <v>658</v>
      </c>
      <c r="F321" s="16">
        <f>1288-169</f>
        <v>1119</v>
      </c>
      <c r="G321" s="16">
        <f>991-123</f>
        <v>868</v>
      </c>
      <c r="H321" s="16" t="s">
        <v>58</v>
      </c>
      <c r="I321" s="16">
        <f>C321-C320</f>
        <v>66.000208695652177</v>
      </c>
      <c r="J321" s="16">
        <f>D321-D320</f>
        <v>69.000768004223872</v>
      </c>
      <c r="K321" s="16">
        <f>E321-E320</f>
        <v>655.99988451573108</v>
      </c>
      <c r="L321" s="16">
        <f>F321-F320</f>
        <v>1065.0112430717863</v>
      </c>
      <c r="M321" s="16">
        <f>G321-G320</f>
        <v>829.00667461845183</v>
      </c>
    </row>
    <row r="322" spans="1:13">
      <c r="A322" s="79"/>
      <c r="B322" s="16" t="s">
        <v>54</v>
      </c>
      <c r="C322" s="16">
        <f>(1-C316)*C319/C316</f>
        <v>3.0023999999999975</v>
      </c>
      <c r="D322" s="16">
        <f t="shared" ref="D322:G322" si="150">(1-D316)*D319/D316</f>
        <v>3.9991000000000008</v>
      </c>
      <c r="E322" s="16">
        <f t="shared" si="150"/>
        <v>13.003200000000005</v>
      </c>
      <c r="F322" s="16">
        <f t="shared" si="150"/>
        <v>30.994600000000005</v>
      </c>
      <c r="G322" s="16">
        <f t="shared" si="150"/>
        <v>19.003499999999995</v>
      </c>
      <c r="I322" s="22"/>
    </row>
    <row r="323" spans="1:13">
      <c r="A323" s="79"/>
      <c r="B323" s="16" t="s">
        <v>55</v>
      </c>
      <c r="C323" s="16">
        <v>0.87580000000000002</v>
      </c>
      <c r="D323" s="16">
        <v>0.73</v>
      </c>
      <c r="E323" s="16">
        <v>0.89600000000000002</v>
      </c>
      <c r="F323" s="16">
        <v>0.72829999999999995</v>
      </c>
      <c r="G323" s="16">
        <v>0.75119999999999998</v>
      </c>
      <c r="I323" s="22"/>
    </row>
    <row r="324" spans="1:13">
      <c r="A324" s="79"/>
      <c r="B324" s="16" t="s">
        <v>56</v>
      </c>
      <c r="C324" s="16">
        <v>0.9375</v>
      </c>
      <c r="D324" s="16">
        <v>0.87909999999999999</v>
      </c>
      <c r="E324" s="16">
        <v>0.92110000000000003</v>
      </c>
      <c r="F324" s="16">
        <v>0.8841</v>
      </c>
      <c r="G324" s="16">
        <v>0.90029999999999999</v>
      </c>
      <c r="I324" s="22"/>
    </row>
    <row r="325" spans="1:13">
      <c r="A325" s="80"/>
      <c r="B325" s="16" t="s">
        <v>57</v>
      </c>
      <c r="C325" s="16">
        <v>0.9375</v>
      </c>
      <c r="D325" s="16">
        <v>0.88680000000000003</v>
      </c>
      <c r="E325" s="16">
        <v>0.9798</v>
      </c>
      <c r="F325" s="16">
        <v>0.93400000000000005</v>
      </c>
      <c r="G325" s="16">
        <v>0.9415</v>
      </c>
      <c r="I325" s="22"/>
    </row>
    <row r="326" spans="1:13">
      <c r="A326" s="83" t="s">
        <v>89</v>
      </c>
      <c r="B326" s="24" t="s">
        <v>1</v>
      </c>
      <c r="C326" s="24">
        <v>0.94520000000000004</v>
      </c>
      <c r="D326" s="24">
        <v>0.83020000000000005</v>
      </c>
      <c r="E326" s="24">
        <v>0.9</v>
      </c>
      <c r="F326" s="24">
        <v>0.83020000000000005</v>
      </c>
      <c r="G326" s="24">
        <v>0.82310000000000005</v>
      </c>
      <c r="I326" s="22"/>
    </row>
    <row r="327" spans="1:13">
      <c r="A327" s="84"/>
      <c r="B327" s="16" t="s">
        <v>2</v>
      </c>
      <c r="C327" s="16">
        <v>0.95830000000000004</v>
      </c>
      <c r="D327" s="16">
        <v>0.75860000000000005</v>
      </c>
      <c r="E327" s="16">
        <v>0.85709999999999997</v>
      </c>
      <c r="F327" s="16">
        <v>0.78110000000000002</v>
      </c>
      <c r="G327" s="16">
        <v>0.86990000000000001</v>
      </c>
      <c r="I327" s="22"/>
    </row>
    <row r="328" spans="1:13">
      <c r="A328" s="84"/>
      <c r="B328" s="16" t="s">
        <v>47</v>
      </c>
      <c r="C328" s="16">
        <v>0.93240000000000001</v>
      </c>
      <c r="D328" s="16">
        <v>0.91669999999999996</v>
      </c>
      <c r="E328" s="16">
        <v>0.94740000000000002</v>
      </c>
      <c r="F328" s="16">
        <v>0.88590000000000002</v>
      </c>
      <c r="G328" s="16">
        <v>0.78100000000000003</v>
      </c>
      <c r="I328" s="22"/>
    </row>
    <row r="329" spans="1:13">
      <c r="A329" s="84"/>
      <c r="B329" s="16" t="s">
        <v>48</v>
      </c>
      <c r="C329" s="16">
        <f>1-0.0694</f>
        <v>0.93059999999999998</v>
      </c>
      <c r="D329" s="16">
        <f>1-0.026</f>
        <v>0.97399999999999998</v>
      </c>
      <c r="E329" s="16">
        <f>1-0.0061</f>
        <v>0.99390000000000001</v>
      </c>
      <c r="F329" s="16">
        <f>1-0.0152</f>
        <v>0.98480000000000001</v>
      </c>
      <c r="G329" s="16">
        <f>1-0.0346</f>
        <v>0.96540000000000004</v>
      </c>
      <c r="I329" s="22"/>
    </row>
    <row r="330" spans="1:13">
      <c r="A330" s="84"/>
      <c r="B330" s="16" t="s">
        <v>51</v>
      </c>
      <c r="C330" s="16">
        <f>72*C327</f>
        <v>68.997600000000006</v>
      </c>
      <c r="D330" s="16">
        <f>29*D327</f>
        <v>21.999400000000001</v>
      </c>
      <c r="E330" s="16">
        <f>84*E327</f>
        <v>71.996399999999994</v>
      </c>
      <c r="F330" s="16">
        <f>169*F327</f>
        <v>132.0059</v>
      </c>
      <c r="G330" s="16">
        <f>123*G327</f>
        <v>106.99769999999999</v>
      </c>
      <c r="I330" s="22"/>
    </row>
    <row r="331" spans="1:13">
      <c r="A331" s="84"/>
      <c r="B331" s="17" t="s">
        <v>52</v>
      </c>
      <c r="C331" s="16">
        <f>((1-C328)*C330)/C328</f>
        <v>5.0023999999999997</v>
      </c>
      <c r="D331" s="16">
        <f t="shared" ref="D331:G331" si="151">((1-D328)*D330)/D328</f>
        <v>1.9990727828078991</v>
      </c>
      <c r="E331" s="16">
        <f t="shared" si="151"/>
        <v>3.997266877770739</v>
      </c>
      <c r="F331" s="16">
        <f t="shared" si="151"/>
        <v>17.001775809910821</v>
      </c>
      <c r="G331" s="16">
        <f t="shared" si="151"/>
        <v>30.003196286811775</v>
      </c>
      <c r="I331" s="22"/>
    </row>
    <row r="332" spans="1:13">
      <c r="A332" s="84"/>
      <c r="B332" s="16" t="s">
        <v>53</v>
      </c>
      <c r="C332" s="16">
        <f>144-72</f>
        <v>72</v>
      </c>
      <c r="D332" s="16">
        <f>106-29</f>
        <v>77</v>
      </c>
      <c r="E332" s="16">
        <f>742-84</f>
        <v>658</v>
      </c>
      <c r="F332" s="16">
        <f>1288-169</f>
        <v>1119</v>
      </c>
      <c r="G332" s="16">
        <f>991-123</f>
        <v>868</v>
      </c>
      <c r="H332" s="16" t="s">
        <v>58</v>
      </c>
      <c r="I332" s="16">
        <f>C332-C331</f>
        <v>66.997600000000006</v>
      </c>
      <c r="J332" s="16">
        <f>D332-D331</f>
        <v>75.0009272171921</v>
      </c>
      <c r="K332" s="16">
        <f>E332-E331</f>
        <v>654.0027331222293</v>
      </c>
      <c r="L332" s="16">
        <f>F332-F331</f>
        <v>1101.9982241900891</v>
      </c>
      <c r="M332" s="16">
        <f>G332-G331</f>
        <v>837.99680371318823</v>
      </c>
    </row>
    <row r="333" spans="1:13">
      <c r="A333" s="84"/>
      <c r="B333" s="16" t="s">
        <v>54</v>
      </c>
      <c r="C333" s="16">
        <f>(1-C327)*C330/C327</f>
        <v>3.0023999999999975</v>
      </c>
      <c r="D333" s="16">
        <f t="shared" ref="D333:G333" si="152">(1-D327)*D330/D327</f>
        <v>7.0005999999999986</v>
      </c>
      <c r="E333" s="16">
        <f t="shared" si="152"/>
        <v>12.0036</v>
      </c>
      <c r="F333" s="16">
        <f t="shared" si="152"/>
        <v>36.994099999999996</v>
      </c>
      <c r="G333" s="16">
        <f t="shared" si="152"/>
        <v>16.002299999999998</v>
      </c>
    </row>
    <row r="334" spans="1:13">
      <c r="A334" s="84"/>
      <c r="B334" s="16" t="s">
        <v>55</v>
      </c>
      <c r="C334" s="16">
        <v>0.88919999999999999</v>
      </c>
      <c r="D334" s="16">
        <v>0.78039999999999998</v>
      </c>
      <c r="E334" s="16">
        <v>0.88929999999999998</v>
      </c>
      <c r="F334" s="16">
        <v>0.80840000000000001</v>
      </c>
      <c r="G334" s="16">
        <v>0.79800000000000004</v>
      </c>
    </row>
    <row r="335" spans="1:13">
      <c r="A335" s="84"/>
      <c r="B335" s="16" t="s">
        <v>56</v>
      </c>
      <c r="C335" s="16">
        <v>0.94440000000000002</v>
      </c>
      <c r="D335" s="16">
        <v>0.86629999999999996</v>
      </c>
      <c r="E335" s="16">
        <v>0.92549999999999999</v>
      </c>
      <c r="F335" s="16">
        <v>0.88290000000000002</v>
      </c>
      <c r="G335" s="16">
        <v>0.91769999999999996</v>
      </c>
    </row>
    <row r="336" spans="1:13">
      <c r="A336" s="85"/>
      <c r="B336" s="16" t="s">
        <v>57</v>
      </c>
      <c r="C336" s="16">
        <v>0.94440000000000002</v>
      </c>
      <c r="D336" s="16">
        <v>0.91510000000000002</v>
      </c>
      <c r="E336" s="16">
        <v>0.97840000000000005</v>
      </c>
      <c r="F336" s="16">
        <v>0.95799999999999996</v>
      </c>
      <c r="G336" s="16">
        <v>0.9536</v>
      </c>
    </row>
    <row r="337" spans="1:13">
      <c r="A337" s="83" t="s">
        <v>91</v>
      </c>
      <c r="B337" s="24" t="s">
        <v>1</v>
      </c>
      <c r="C337" s="24">
        <v>0.94440000000000002</v>
      </c>
      <c r="D337" s="24">
        <v>0.8276</v>
      </c>
      <c r="E337" s="24">
        <v>0.90239999999999998</v>
      </c>
      <c r="F337" s="24">
        <v>0.84240000000000004</v>
      </c>
      <c r="G337" s="24">
        <v>0.81200000000000006</v>
      </c>
    </row>
    <row r="338" spans="1:13">
      <c r="A338" s="84"/>
      <c r="B338" s="16" t="s">
        <v>2</v>
      </c>
      <c r="C338" s="16">
        <v>0.94440000000000002</v>
      </c>
      <c r="D338" s="16">
        <v>0.8276</v>
      </c>
      <c r="E338" s="16">
        <v>0.88100000000000001</v>
      </c>
      <c r="F338" s="16">
        <v>0.82250000000000001</v>
      </c>
      <c r="G338" s="16">
        <v>0.77239999999999998</v>
      </c>
    </row>
    <row r="339" spans="1:13">
      <c r="A339" s="84"/>
      <c r="B339" s="16" t="s">
        <v>47</v>
      </c>
      <c r="C339" s="16">
        <v>0.94440000000000002</v>
      </c>
      <c r="D339" s="16">
        <v>0.8276</v>
      </c>
      <c r="E339" s="16">
        <v>0.92500000000000004</v>
      </c>
      <c r="F339" s="16">
        <v>0.86339999999999995</v>
      </c>
      <c r="G339" s="16">
        <v>0.85589999999999999</v>
      </c>
    </row>
    <row r="340" spans="1:13">
      <c r="A340" s="84"/>
      <c r="B340" s="16" t="s">
        <v>48</v>
      </c>
      <c r="C340" s="16">
        <f>1-0.0556</f>
        <v>0.94440000000000002</v>
      </c>
      <c r="D340" s="16">
        <f>1-0.0649</f>
        <v>0.93510000000000004</v>
      </c>
      <c r="E340" s="16">
        <f>1-0.0091</f>
        <v>0.9909</v>
      </c>
      <c r="F340" s="16">
        <f>1-0.0197</f>
        <v>0.98029999999999995</v>
      </c>
      <c r="G340" s="16">
        <f>1-0.0184</f>
        <v>0.98160000000000003</v>
      </c>
    </row>
    <row r="341" spans="1:13">
      <c r="A341" s="84"/>
      <c r="B341" s="16" t="s">
        <v>51</v>
      </c>
      <c r="C341" s="16">
        <f>72*C338</f>
        <v>67.996800000000007</v>
      </c>
      <c r="D341" s="16">
        <f t="shared" ref="D341:G341" si="153">72*D338</f>
        <v>59.587200000000003</v>
      </c>
      <c r="E341" s="16">
        <f t="shared" si="153"/>
        <v>63.432000000000002</v>
      </c>
      <c r="F341" s="16">
        <f t="shared" si="153"/>
        <v>59.22</v>
      </c>
      <c r="G341" s="16">
        <f t="shared" si="153"/>
        <v>55.6128</v>
      </c>
    </row>
    <row r="342" spans="1:13">
      <c r="A342" s="84"/>
      <c r="B342" s="17" t="s">
        <v>52</v>
      </c>
      <c r="C342" s="16">
        <f>((1-C339)*C341)/C339</f>
        <v>4.0031999999999988</v>
      </c>
      <c r="D342" s="16">
        <f t="shared" ref="D342:G342" si="154">((1-D339)*D341)/D339</f>
        <v>12.412800000000001</v>
      </c>
      <c r="E342" s="16">
        <f t="shared" si="154"/>
        <v>5.1431351351351315</v>
      </c>
      <c r="F342" s="16">
        <f t="shared" si="154"/>
        <v>9.3692981236970159</v>
      </c>
      <c r="G342" s="16">
        <f t="shared" si="154"/>
        <v>9.3630149316508948</v>
      </c>
    </row>
    <row r="343" spans="1:13">
      <c r="A343" s="84"/>
      <c r="B343" s="16" t="s">
        <v>53</v>
      </c>
      <c r="C343" s="16">
        <f>144-72</f>
        <v>72</v>
      </c>
      <c r="D343" s="16">
        <f t="shared" ref="D343:G343" si="155">144-72</f>
        <v>72</v>
      </c>
      <c r="E343" s="16">
        <f t="shared" si="155"/>
        <v>72</v>
      </c>
      <c r="F343" s="16">
        <f t="shared" si="155"/>
        <v>72</v>
      </c>
      <c r="G343" s="16">
        <f t="shared" si="155"/>
        <v>72</v>
      </c>
      <c r="H343" s="16" t="s">
        <v>58</v>
      </c>
      <c r="I343" s="16">
        <f>C343-C342</f>
        <v>67.996800000000007</v>
      </c>
      <c r="J343" s="16">
        <f>D343-D342</f>
        <v>59.587199999999996</v>
      </c>
      <c r="K343" s="16">
        <f>E343-E342</f>
        <v>66.856864864864875</v>
      </c>
      <c r="L343" s="16">
        <f>F343-F342</f>
        <v>62.630701876302986</v>
      </c>
      <c r="M343" s="16">
        <f>G343-G342</f>
        <v>62.636985068349105</v>
      </c>
    </row>
    <row r="344" spans="1:13">
      <c r="A344" s="84"/>
      <c r="B344" s="16" t="s">
        <v>54</v>
      </c>
      <c r="C344" s="16">
        <f>(1-C338)*C341/C338</f>
        <v>4.0031999999999988</v>
      </c>
      <c r="D344" s="16">
        <f t="shared" ref="D344:G344" si="156">(1-D338)*D341/D338</f>
        <v>12.412800000000001</v>
      </c>
      <c r="E344" s="16">
        <f t="shared" si="156"/>
        <v>8.5679999999999996</v>
      </c>
      <c r="F344" s="16">
        <f t="shared" si="156"/>
        <v>12.78</v>
      </c>
      <c r="G344" s="16">
        <f t="shared" si="156"/>
        <v>16.387200000000004</v>
      </c>
    </row>
    <row r="345" spans="1:13">
      <c r="A345" s="84"/>
      <c r="B345" s="16" t="s">
        <v>55</v>
      </c>
      <c r="C345" s="16">
        <v>0.88890000000000002</v>
      </c>
      <c r="D345" s="16">
        <v>0.76270000000000004</v>
      </c>
      <c r="E345" s="16">
        <v>0.89070000000000005</v>
      </c>
      <c r="F345" s="16">
        <v>0.8196</v>
      </c>
      <c r="G345" s="16">
        <v>0.78820000000000001</v>
      </c>
    </row>
    <row r="346" spans="1:13">
      <c r="A346" s="84"/>
      <c r="B346" s="16" t="s">
        <v>56</v>
      </c>
      <c r="C346" s="16">
        <v>0.94440000000000002</v>
      </c>
      <c r="D346" s="16">
        <v>0.88129999999999997</v>
      </c>
      <c r="E346" s="16">
        <v>0.93589999999999995</v>
      </c>
      <c r="F346" s="16">
        <v>0.90139999999999998</v>
      </c>
      <c r="G346" s="16">
        <v>0.877</v>
      </c>
    </row>
    <row r="347" spans="1:13">
      <c r="A347" s="85"/>
      <c r="B347" s="16" t="s">
        <v>57</v>
      </c>
      <c r="C347" s="16">
        <v>0.94440000000000002</v>
      </c>
      <c r="D347" s="16">
        <v>0.90569999999999995</v>
      </c>
      <c r="E347" s="16">
        <v>0.97840000000000005</v>
      </c>
      <c r="F347" s="16">
        <v>0.95960000000000001</v>
      </c>
      <c r="G347" s="16">
        <v>0.9556</v>
      </c>
    </row>
    <row r="348" spans="1:13">
      <c r="A348" s="78" t="s">
        <v>50</v>
      </c>
      <c r="B348" s="24" t="s">
        <v>1</v>
      </c>
      <c r="C348" s="24">
        <v>0.95169999999999999</v>
      </c>
      <c r="D348" s="24">
        <v>0.87270000000000003</v>
      </c>
      <c r="E348" s="24">
        <v>0.91139999999999999</v>
      </c>
      <c r="F348" s="24">
        <v>0.83169999999999999</v>
      </c>
      <c r="G348" s="24">
        <v>0.83140000000000003</v>
      </c>
    </row>
    <row r="349" spans="1:13">
      <c r="A349" s="79"/>
      <c r="B349" s="16" t="s">
        <v>2</v>
      </c>
      <c r="C349" s="16">
        <v>0.95830000000000004</v>
      </c>
      <c r="D349" s="16">
        <v>0.8276</v>
      </c>
      <c r="E349" s="16">
        <v>0.85709999999999997</v>
      </c>
      <c r="F349" s="16">
        <v>0.77510000000000001</v>
      </c>
      <c r="G349" s="16">
        <v>0.86180000000000001</v>
      </c>
    </row>
    <row r="350" spans="1:13">
      <c r="A350" s="79"/>
      <c r="B350" s="16" t="s">
        <v>47</v>
      </c>
      <c r="C350" s="16">
        <v>0.94520000000000004</v>
      </c>
      <c r="D350" s="16">
        <v>0.92310000000000003</v>
      </c>
      <c r="E350" s="16">
        <v>0.97299999999999998</v>
      </c>
      <c r="F350" s="16">
        <v>0.89729999999999999</v>
      </c>
      <c r="G350" s="16">
        <v>0.80300000000000005</v>
      </c>
    </row>
    <row r="351" spans="1:13">
      <c r="A351" s="79"/>
      <c r="B351" s="16" t="s">
        <v>48</v>
      </c>
      <c r="C351" s="16">
        <f>1-0.0556</f>
        <v>0.94440000000000002</v>
      </c>
      <c r="D351" s="16">
        <f>1-0.026</f>
        <v>0.97399999999999998</v>
      </c>
      <c r="E351" s="16">
        <f>1-0.003</f>
        <v>0.997</v>
      </c>
      <c r="F351" s="16">
        <f>1-0.0134</f>
        <v>0.98660000000000003</v>
      </c>
      <c r="G351" s="16">
        <f>1-0.03</f>
        <v>0.97</v>
      </c>
    </row>
    <row r="352" spans="1:13">
      <c r="A352" s="79"/>
      <c r="B352" s="16" t="s">
        <v>51</v>
      </c>
      <c r="C352" s="16">
        <f>72*C349</f>
        <v>68.997600000000006</v>
      </c>
      <c r="D352" s="16">
        <f>29*D349</f>
        <v>24.000399999999999</v>
      </c>
      <c r="E352" s="16">
        <f>84*E349</f>
        <v>71.996399999999994</v>
      </c>
      <c r="F352" s="16">
        <f>169*F349</f>
        <v>130.99190000000002</v>
      </c>
      <c r="G352" s="16">
        <f>123*G349</f>
        <v>106.0014</v>
      </c>
    </row>
    <row r="353" spans="1:7">
      <c r="A353" s="79"/>
      <c r="B353" s="17" t="s">
        <v>52</v>
      </c>
      <c r="C353" s="16">
        <f>((1-C350)*C352)/C350</f>
        <v>4.0002840457046096</v>
      </c>
      <c r="D353" s="16">
        <f t="shared" ref="D353:G353" si="157">((1-D350)*D352)/D350</f>
        <v>1.9993833387498636</v>
      </c>
      <c r="E353" s="16">
        <f t="shared" si="157"/>
        <v>1.9978446043165485</v>
      </c>
      <c r="F353" s="16">
        <f t="shared" si="157"/>
        <v>14.992609082803972</v>
      </c>
      <c r="G353" s="16">
        <f t="shared" si="157"/>
        <v>26.005324782067241</v>
      </c>
    </row>
    <row r="354" spans="1:7">
      <c r="A354" s="79"/>
      <c r="B354" s="16" t="s">
        <v>53</v>
      </c>
      <c r="C354" s="16">
        <f>144-72</f>
        <v>72</v>
      </c>
      <c r="D354" s="16">
        <f>106-29</f>
        <v>77</v>
      </c>
      <c r="E354" s="16">
        <f>742-84</f>
        <v>658</v>
      </c>
      <c r="F354" s="16">
        <f>1288-169</f>
        <v>1119</v>
      </c>
      <c r="G354" s="16">
        <f>991-123</f>
        <v>868</v>
      </c>
    </row>
    <row r="355" spans="1:7">
      <c r="A355" s="79"/>
      <c r="B355" s="16" t="s">
        <v>54</v>
      </c>
      <c r="C355" s="16">
        <f>(1-C349)*C352/C349</f>
        <v>3.0023999999999975</v>
      </c>
      <c r="D355" s="16">
        <f t="shared" ref="D355:G355" si="158">(1-D349)*D352/D349</f>
        <v>4.9996</v>
      </c>
      <c r="E355" s="16">
        <f t="shared" si="158"/>
        <v>12.0036</v>
      </c>
      <c r="F355" s="16">
        <f t="shared" si="158"/>
        <v>38.008100000000006</v>
      </c>
      <c r="G355" s="16">
        <f t="shared" si="158"/>
        <v>16.9986</v>
      </c>
    </row>
    <row r="356" spans="1:7">
      <c r="A356" s="79"/>
      <c r="B356" s="16" t="s">
        <v>55</v>
      </c>
      <c r="C356" s="16">
        <v>0.90290000000000004</v>
      </c>
      <c r="D356" s="16">
        <v>0.8306</v>
      </c>
      <c r="E356" s="16">
        <v>0.90310000000000001</v>
      </c>
      <c r="F356" s="16">
        <v>0.81120000000000003</v>
      </c>
      <c r="G356" s="16">
        <v>0.80720000000000003</v>
      </c>
    </row>
    <row r="357" spans="1:7">
      <c r="A357" s="79"/>
      <c r="B357" s="16" t="s">
        <v>56</v>
      </c>
      <c r="C357" s="16">
        <v>0.95140000000000002</v>
      </c>
      <c r="D357" s="16">
        <v>0.90080000000000005</v>
      </c>
      <c r="E357" s="16">
        <v>0.92710000000000004</v>
      </c>
      <c r="F357" s="16">
        <v>0.88090000000000002</v>
      </c>
      <c r="G357" s="16">
        <v>0.91590000000000005</v>
      </c>
    </row>
    <row r="358" spans="1:7">
      <c r="A358" s="80"/>
      <c r="B358" s="16" t="s">
        <v>57</v>
      </c>
      <c r="C358" s="16">
        <v>0.95140000000000002</v>
      </c>
      <c r="D358" s="16">
        <v>0.93400000000000005</v>
      </c>
      <c r="E358" s="16">
        <v>0.98109999999999997</v>
      </c>
      <c r="F358" s="16">
        <v>0.95879999999999999</v>
      </c>
      <c r="G358" s="16">
        <v>0.95660000000000001</v>
      </c>
    </row>
  </sheetData>
  <mergeCells count="73">
    <mergeCell ref="X286:X296"/>
    <mergeCell ref="AP240:AQ240"/>
    <mergeCell ref="AR240:AS240"/>
    <mergeCell ref="X242:X252"/>
    <mergeCell ref="X253:X263"/>
    <mergeCell ref="X264:X274"/>
    <mergeCell ref="AK240:AO240"/>
    <mergeCell ref="A242:A252"/>
    <mergeCell ref="S240:T240"/>
    <mergeCell ref="U240:V240"/>
    <mergeCell ref="A184:A194"/>
    <mergeCell ref="X275:X285"/>
    <mergeCell ref="A304:A314"/>
    <mergeCell ref="A315:A325"/>
    <mergeCell ref="A326:A336"/>
    <mergeCell ref="A348:A358"/>
    <mergeCell ref="Z195:Z198"/>
    <mergeCell ref="A337:A347"/>
    <mergeCell ref="A253:A263"/>
    <mergeCell ref="A264:A274"/>
    <mergeCell ref="A275:A285"/>
    <mergeCell ref="A286:A296"/>
    <mergeCell ref="A228:A238"/>
    <mergeCell ref="A217:A227"/>
    <mergeCell ref="A206:A216"/>
    <mergeCell ref="A195:A205"/>
    <mergeCell ref="N240:R240"/>
    <mergeCell ref="Z206:Z209"/>
    <mergeCell ref="AP217:AP220"/>
    <mergeCell ref="Z217:Z220"/>
    <mergeCell ref="AP184:AP187"/>
    <mergeCell ref="AP195:AP198"/>
    <mergeCell ref="AP206:AP209"/>
    <mergeCell ref="Z184:Z187"/>
    <mergeCell ref="A92:A100"/>
    <mergeCell ref="A101:A109"/>
    <mergeCell ref="A170:A173"/>
    <mergeCell ref="A115:A118"/>
    <mergeCell ref="A126:A129"/>
    <mergeCell ref="A137:A140"/>
    <mergeCell ref="A148:A151"/>
    <mergeCell ref="A159:A162"/>
    <mergeCell ref="S2:S10"/>
    <mergeCell ref="S11:S19"/>
    <mergeCell ref="S20:S28"/>
    <mergeCell ref="A47:A55"/>
    <mergeCell ref="A56:A64"/>
    <mergeCell ref="A65:A73"/>
    <mergeCell ref="A74:A82"/>
    <mergeCell ref="A83:A91"/>
    <mergeCell ref="A2:A10"/>
    <mergeCell ref="A11:A19"/>
    <mergeCell ref="A20:A28"/>
    <mergeCell ref="A29:A37"/>
    <mergeCell ref="A38:A46"/>
    <mergeCell ref="S74:S82"/>
    <mergeCell ref="S83:S91"/>
    <mergeCell ref="S92:S100"/>
    <mergeCell ref="S29:S37"/>
    <mergeCell ref="S38:S46"/>
    <mergeCell ref="S47:S55"/>
    <mergeCell ref="S56:S64"/>
    <mergeCell ref="S65:S73"/>
    <mergeCell ref="Z115:Z125"/>
    <mergeCell ref="Z159:Z169"/>
    <mergeCell ref="Z148:Z158"/>
    <mergeCell ref="Z137:Z147"/>
    <mergeCell ref="Z126:Z136"/>
    <mergeCell ref="U182:V182"/>
    <mergeCell ref="S182:T182"/>
    <mergeCell ref="N182:R182"/>
    <mergeCell ref="O113:R113"/>
    <mergeCell ref="V113:W113"/>
  </mergeCells>
  <phoneticPr fontId="7" type="noConversion"/>
  <conditionalFormatting sqref="C145:C147">
    <cfRule type="expression" dxfId="115" priority="181">
      <formula>C145=MAX(C$29:C$37)</formula>
    </cfRule>
  </conditionalFormatting>
  <conditionalFormatting sqref="C156:G158">
    <cfRule type="expression" dxfId="114" priority="180">
      <formula>C156=MAX(C$29:C$37)</formula>
    </cfRule>
  </conditionalFormatting>
  <conditionalFormatting sqref="C2:H4 C5:E5 H5 C6:H6">
    <cfRule type="expression" dxfId="113" priority="301">
      <formula>C2=MAX(C$2:C$10)</formula>
    </cfRule>
  </conditionalFormatting>
  <conditionalFormatting sqref="C10:H10">
    <cfRule type="expression" dxfId="112" priority="241">
      <formula>C10=MAX(C$101:C$109)</formula>
    </cfRule>
  </conditionalFormatting>
  <conditionalFormatting sqref="C11:H15">
    <cfRule type="expression" dxfId="111" priority="300">
      <formula>C11=MAX(C$11:C$19)</formula>
    </cfRule>
  </conditionalFormatting>
  <conditionalFormatting sqref="C19:H19">
    <cfRule type="expression" dxfId="110" priority="242">
      <formula>C19=MAX(C$101:C$109)</formula>
    </cfRule>
  </conditionalFormatting>
  <conditionalFormatting sqref="C20:H24">
    <cfRule type="expression" dxfId="109" priority="299">
      <formula>C20=MAX(C$20:C$28)</formula>
    </cfRule>
  </conditionalFormatting>
  <conditionalFormatting sqref="C28:H28">
    <cfRule type="expression" dxfId="108" priority="243">
      <formula>C28=MAX(C$101:C$109)</formula>
    </cfRule>
  </conditionalFormatting>
  <conditionalFormatting sqref="C29:H33">
    <cfRule type="expression" dxfId="107" priority="298">
      <formula>C29=MAX(C$29:C$37)</formula>
    </cfRule>
  </conditionalFormatting>
  <conditionalFormatting sqref="C37:H37">
    <cfRule type="expression" dxfId="106" priority="244">
      <formula>C37=MAX(C$101:C$109)</formula>
    </cfRule>
  </conditionalFormatting>
  <conditionalFormatting sqref="C46:H46">
    <cfRule type="expression" dxfId="105" priority="245">
      <formula>C46=MAX(C$101:C$109)</formula>
    </cfRule>
  </conditionalFormatting>
  <conditionalFormatting sqref="C47:H51">
    <cfRule type="expression" dxfId="104" priority="297">
      <formula>C47=MAX(C$47:C$55)</formula>
    </cfRule>
  </conditionalFormatting>
  <conditionalFormatting sqref="C55:H55">
    <cfRule type="expression" dxfId="103" priority="246">
      <formula>C55=MAX(C$101:C$109)</formula>
    </cfRule>
  </conditionalFormatting>
  <conditionalFormatting sqref="C56:H60">
    <cfRule type="expression" dxfId="102" priority="302">
      <formula>C56=MAX(C$56:C$64)</formula>
    </cfRule>
  </conditionalFormatting>
  <conditionalFormatting sqref="C64:H64">
    <cfRule type="expression" dxfId="101" priority="247">
      <formula>C64=MAX(C$101:C$109)</formula>
    </cfRule>
  </conditionalFormatting>
  <conditionalFormatting sqref="C65:H69">
    <cfRule type="expression" dxfId="100" priority="295">
      <formula>C65=MAX(C$65:C$73)</formula>
    </cfRule>
  </conditionalFormatting>
  <conditionalFormatting sqref="C73:H73">
    <cfRule type="expression" dxfId="99" priority="248">
      <formula>C73=MAX(C$101:C$109)</formula>
    </cfRule>
  </conditionalFormatting>
  <conditionalFormatting sqref="C74:H78">
    <cfRule type="expression" dxfId="98" priority="303">
      <formula>C74=MAX(C$74:C$82)</formula>
    </cfRule>
  </conditionalFormatting>
  <conditionalFormatting sqref="C82:H82">
    <cfRule type="expression" dxfId="97" priority="249">
      <formula>C82=MAX(C$101:C$109)</formula>
    </cfRule>
  </conditionalFormatting>
  <conditionalFormatting sqref="C83:H87">
    <cfRule type="expression" dxfId="96" priority="306">
      <formula>C83=MAX(C$83:C$91)</formula>
    </cfRule>
  </conditionalFormatting>
  <conditionalFormatting sqref="C91:H91">
    <cfRule type="expression" dxfId="95" priority="250">
      <formula>C91=MAX(C$101:C$109)</formula>
    </cfRule>
  </conditionalFormatting>
  <conditionalFormatting sqref="C92:H96">
    <cfRule type="expression" dxfId="94" priority="292">
      <formula>C92=MAX(C$92:C$100)</formula>
    </cfRule>
  </conditionalFormatting>
  <conditionalFormatting sqref="C100:H105">
    <cfRule type="expression" dxfId="93" priority="251">
      <formula>C100=MAX(C$101:C$109)</formula>
    </cfRule>
  </conditionalFormatting>
  <conditionalFormatting sqref="C109:H109">
    <cfRule type="expression" dxfId="92" priority="305">
      <formula>C109=MAX(C$101:C$109)</formula>
    </cfRule>
  </conditionalFormatting>
  <conditionalFormatting sqref="D145:D147">
    <cfRule type="expression" dxfId="91" priority="167">
      <formula>D145=MAX(D$11:D$19)</formula>
    </cfRule>
  </conditionalFormatting>
  <conditionalFormatting sqref="D225:D227">
    <cfRule type="expression" dxfId="90" priority="127">
      <formula>D225=MAX(D$11:D$19)</formula>
    </cfRule>
  </conditionalFormatting>
  <conditionalFormatting sqref="E145:E147">
    <cfRule type="expression" dxfId="89" priority="173">
      <formula>E145=MAX(D$2:D$10)</formula>
    </cfRule>
  </conditionalFormatting>
  <conditionalFormatting sqref="F145:F147">
    <cfRule type="expression" dxfId="88" priority="154">
      <formula>F145=MAX(F$65:F$73)</formula>
    </cfRule>
  </conditionalFormatting>
  <conditionalFormatting sqref="F225:F227">
    <cfRule type="expression" dxfId="87" priority="125">
      <formula>F225=MAX(F$65:F$73)</formula>
    </cfRule>
  </conditionalFormatting>
  <conditionalFormatting sqref="G5">
    <cfRule type="expression" dxfId="86" priority="308">
      <formula>G5=MAX(F$2:F$10)</formula>
    </cfRule>
  </conditionalFormatting>
  <conditionalFormatting sqref="G145:G147">
    <cfRule type="expression" dxfId="85" priority="161">
      <formula>G145=MAX(G$20:G$28)</formula>
    </cfRule>
  </conditionalFormatting>
  <conditionalFormatting sqref="G184:G194">
    <cfRule type="expression" dxfId="84" priority="55">
      <formula>G184=MAX(G$65:G$73)</formula>
    </cfRule>
  </conditionalFormatting>
  <conditionalFormatting sqref="G225:G227">
    <cfRule type="expression" dxfId="83" priority="126">
      <formula>G225=MAX(G$20:G$28)</formula>
    </cfRule>
  </conditionalFormatting>
  <conditionalFormatting sqref="G304:G314">
    <cfRule type="expression" dxfId="82" priority="44">
      <formula>G304=MAX(G$65:G$73)</formula>
    </cfRule>
  </conditionalFormatting>
  <conditionalFormatting sqref="H183:H238">
    <cfRule type="expression" dxfId="81" priority="54">
      <formula>H183=MAX(H$65:H$73)</formula>
    </cfRule>
  </conditionalFormatting>
  <conditionalFormatting sqref="H242:H248">
    <cfRule type="expression" dxfId="80" priority="36">
      <formula>H242=MAX(H$65:H$73)</formula>
    </cfRule>
  </conditionalFormatting>
  <conditionalFormatting sqref="H253:H259">
    <cfRule type="expression" dxfId="79" priority="33">
      <formula>H253=MAX(H$65:H$73)</formula>
    </cfRule>
  </conditionalFormatting>
  <conditionalFormatting sqref="H264:H270">
    <cfRule type="expression" dxfId="78" priority="30">
      <formula>H264=MAX(H$65:H$73)</formula>
    </cfRule>
  </conditionalFormatting>
  <conditionalFormatting sqref="H275:H281">
    <cfRule type="expression" dxfId="77" priority="27">
      <formula>H275=MAX(H$65:H$73)</formula>
    </cfRule>
  </conditionalFormatting>
  <conditionalFormatting sqref="H286:H292">
    <cfRule type="expression" dxfId="76" priority="21">
      <formula>H286=MAX(H$65:H$73)</formula>
    </cfRule>
  </conditionalFormatting>
  <conditionalFormatting sqref="H310:H343">
    <cfRule type="expression" dxfId="75" priority="39">
      <formula>H310=MAX(H$65:H$73)</formula>
    </cfRule>
  </conditionalFormatting>
  <conditionalFormatting sqref="H114:I181">
    <cfRule type="expression" dxfId="74" priority="50">
      <formula>H114=MAX(H$65:H$73)</formula>
    </cfRule>
  </conditionalFormatting>
  <conditionalFormatting sqref="H122:M131">
    <cfRule type="expression" dxfId="73" priority="146">
      <formula>H122=MAX(J$65:J$73)</formula>
    </cfRule>
  </conditionalFormatting>
  <conditionalFormatting sqref="H133:M142">
    <cfRule type="expression" dxfId="72" priority="145">
      <formula>H133=MAX(J$65:J$73)</formula>
    </cfRule>
  </conditionalFormatting>
  <conditionalFormatting sqref="H144:M153">
    <cfRule type="expression" dxfId="71" priority="144">
      <formula>H144=MAX(J$65:J$73)</formula>
    </cfRule>
  </conditionalFormatting>
  <conditionalFormatting sqref="H155:M164">
    <cfRule type="expression" dxfId="70" priority="143">
      <formula>H155=MAX(J$65:J$73)</formula>
    </cfRule>
  </conditionalFormatting>
  <conditionalFormatting sqref="H190:M200">
    <cfRule type="expression" dxfId="69" priority="314">
      <formula>H190=MAX(J$65:J$73)</formula>
    </cfRule>
  </conditionalFormatting>
  <conditionalFormatting sqref="H213:M222">
    <cfRule type="expression" dxfId="68" priority="122">
      <formula>H213=MAX(J$65:J$73)</formula>
    </cfRule>
  </conditionalFormatting>
  <conditionalFormatting sqref="H242:M247">
    <cfRule type="expression" dxfId="67" priority="37">
      <formula>H242=MAX(J$65:J$73)</formula>
    </cfRule>
  </conditionalFormatting>
  <conditionalFormatting sqref="H253:M258">
    <cfRule type="expression" dxfId="66" priority="34">
      <formula>H253=MAX(J$65:J$73)</formula>
    </cfRule>
  </conditionalFormatting>
  <conditionalFormatting sqref="H264:M269">
    <cfRule type="expression" dxfId="65" priority="31">
      <formula>H264=MAX(J$65:J$73)</formula>
    </cfRule>
  </conditionalFormatting>
  <conditionalFormatting sqref="H275:M280">
    <cfRule type="expression" dxfId="64" priority="28">
      <formula>H275=MAX(J$65:J$73)</formula>
    </cfRule>
  </conditionalFormatting>
  <conditionalFormatting sqref="H286:M291">
    <cfRule type="expression" dxfId="63" priority="22">
      <formula>H286=MAX(J$65:J$73)</formula>
    </cfRule>
  </conditionalFormatting>
  <conditionalFormatting sqref="H310:M320">
    <cfRule type="expression" dxfId="62" priority="43">
      <formula>H310=MAX(J$65:J$73)</formula>
    </cfRule>
  </conditionalFormatting>
  <conditionalFormatting sqref="H333:M342">
    <cfRule type="expression" dxfId="61" priority="40">
      <formula>H333=MAX(J$65:J$73)</formula>
    </cfRule>
  </conditionalFormatting>
  <conditionalFormatting sqref="I202:I227">
    <cfRule type="expression" dxfId="60" priority="312">
      <formula>I202=MAX(Q$65:Q$73)</formula>
    </cfRule>
  </conditionalFormatting>
  <conditionalFormatting sqref="I242:I248">
    <cfRule type="expression" dxfId="59" priority="38">
      <formula>I242=MAX(Q$65:Q$73)</formula>
    </cfRule>
  </conditionalFormatting>
  <conditionalFormatting sqref="I253:I259">
    <cfRule type="expression" dxfId="58" priority="35">
      <formula>I253=MAX(Q$65:Q$73)</formula>
    </cfRule>
  </conditionalFormatting>
  <conditionalFormatting sqref="I264:I270">
    <cfRule type="expression" dxfId="57" priority="32">
      <formula>I264=MAX(Q$65:Q$73)</formula>
    </cfRule>
  </conditionalFormatting>
  <conditionalFormatting sqref="I275:I281">
    <cfRule type="expression" dxfId="56" priority="29">
      <formula>I275=MAX(Q$65:Q$73)</formula>
    </cfRule>
  </conditionalFormatting>
  <conditionalFormatting sqref="I286:I292">
    <cfRule type="expression" dxfId="55" priority="23">
      <formula>I286=MAX(Q$65:Q$73)</formula>
    </cfRule>
  </conditionalFormatting>
  <conditionalFormatting sqref="I322:I343">
    <cfRule type="expression" dxfId="54" priority="42">
      <formula>I322=MAX(Q$65:Q$73)</formula>
    </cfRule>
  </conditionalFormatting>
  <conditionalFormatting sqref="J166:M175 O166:P175 J177:M177 O177:P177 J178:P181">
    <cfRule type="expression" dxfId="53" priority="142">
      <formula>J166=MAX(J$65:J$73)</formula>
    </cfRule>
  </conditionalFormatting>
  <conditionalFormatting sqref="J183:M189">
    <cfRule type="expression" dxfId="52" priority="115">
      <formula>J183=MAX(J$65:J$73)</formula>
    </cfRule>
  </conditionalFormatting>
  <conditionalFormatting sqref="J202:M211">
    <cfRule type="expression" dxfId="51" priority="123">
      <formula>J202=MAX(J$65:J$73)</formula>
    </cfRule>
  </conditionalFormatting>
  <conditionalFormatting sqref="J322:M331">
    <cfRule type="expression" dxfId="50" priority="41">
      <formula>J322=MAX(J$65:J$73)</formula>
    </cfRule>
  </conditionalFormatting>
  <conditionalFormatting sqref="J114:N114 J115:M120 A181:G181">
    <cfRule type="expression" dxfId="49" priority="141">
      <formula>A114=MAX(A$65:A$73)</formula>
    </cfRule>
  </conditionalFormatting>
  <conditionalFormatting sqref="K184:M184 J235:P238">
    <cfRule type="expression" dxfId="48" priority="114">
      <formula>J184=MAX(J$65:J$73)</formula>
    </cfRule>
  </conditionalFormatting>
  <conditionalFormatting sqref="M28:P28">
    <cfRule type="expression" dxfId="47" priority="316">
      <formula>M28=MAX(K$140:K$161)</formula>
    </cfRule>
  </conditionalFormatting>
  <conditionalFormatting sqref="N219:N234 J224:M233 O224:P233">
    <cfRule type="expression" dxfId="46" priority="121">
      <formula>J219=MAX(J$65:J$73)</formula>
    </cfRule>
  </conditionalFormatting>
  <conditionalFormatting sqref="Q28:R28">
    <cfRule type="expression" dxfId="45" priority="287">
      <formula>Q28=MAX(Q$140:Q$161)</formula>
    </cfRule>
  </conditionalFormatting>
  <conditionalFormatting sqref="T184:T218">
    <cfRule type="expression" dxfId="44" priority="52">
      <formula>T184=MAX(AA$65:AA$73)</formula>
    </cfRule>
  </conditionalFormatting>
  <conditionalFormatting sqref="U10:Z10">
    <cfRule type="expression" dxfId="43" priority="240">
      <formula>U10=MAX(C$101:C$109)</formula>
    </cfRule>
  </conditionalFormatting>
  <conditionalFormatting sqref="U19:Z19">
    <cfRule type="expression" dxfId="42" priority="239">
      <formula>U19=MAX(C$101:C$109)</formula>
    </cfRule>
  </conditionalFormatting>
  <conditionalFormatting sqref="U28:Z28">
    <cfRule type="expression" dxfId="41" priority="238">
      <formula>U28=MAX(C$101:C$109)</formula>
    </cfRule>
  </conditionalFormatting>
  <conditionalFormatting sqref="U37:Z37">
    <cfRule type="expression" dxfId="40" priority="237">
      <formula>U37=MAX(C$101:C$109)</formula>
    </cfRule>
  </conditionalFormatting>
  <conditionalFormatting sqref="U46:Z46">
    <cfRule type="expression" dxfId="39" priority="236">
      <formula>U46=MAX(C$101:C$109)</formula>
    </cfRule>
  </conditionalFormatting>
  <conditionalFormatting sqref="U55:Z55">
    <cfRule type="expression" dxfId="38" priority="235">
      <formula>U55=MAX(C$101:C$109)</formula>
    </cfRule>
  </conditionalFormatting>
  <conditionalFormatting sqref="U64:Z64">
    <cfRule type="expression" dxfId="37" priority="234">
      <formula>U64=MAX(C$101:C$109)</formula>
    </cfRule>
  </conditionalFormatting>
  <conditionalFormatting sqref="U73:Z73">
    <cfRule type="expression" dxfId="36" priority="233">
      <formula>U73=MAX(C$101:C$109)</formula>
    </cfRule>
  </conditionalFormatting>
  <conditionalFormatting sqref="U82:Z82">
    <cfRule type="expression" dxfId="35" priority="232">
      <formula>U82=MAX(C$101:C$109)</formula>
    </cfRule>
  </conditionalFormatting>
  <conditionalFormatting sqref="U91:Z91">
    <cfRule type="expression" dxfId="34" priority="231">
      <formula>U91=MAX(C$101:C$109)</formula>
    </cfRule>
  </conditionalFormatting>
  <conditionalFormatting sqref="U100:Z100">
    <cfRule type="expression" dxfId="33" priority="230">
      <formula>U100=MAX(C$101:C$109)</formula>
    </cfRule>
  </conditionalFormatting>
  <conditionalFormatting sqref="V184:V218">
    <cfRule type="expression" dxfId="32" priority="51">
      <formula>V184=MAX(AC$65:AC$73)</formula>
    </cfRule>
  </conditionalFormatting>
  <conditionalFormatting sqref="Z115 AB115:AC115 AF115:AG115 AJ115:AO115 AG116:AG125">
    <cfRule type="expression" dxfId="31" priority="77">
      <formula>Z115=MAX(S$65:S$73)</formula>
    </cfRule>
  </conditionalFormatting>
  <conditionalFormatting sqref="AB182">
    <cfRule type="expression" dxfId="30" priority="310">
      <formula>AB182=MAX(J$65:J$73)</formula>
    </cfRule>
  </conditionalFormatting>
  <conditionalFormatting sqref="AC156:AC158">
    <cfRule type="expression" dxfId="29" priority="85">
      <formula>AC156=MAX(V$11:V$19)</formula>
    </cfRule>
  </conditionalFormatting>
  <conditionalFormatting sqref="AC214:AC216">
    <cfRule type="expression" dxfId="28" priority="112">
      <formula>AC214=MAX(D$11:D$19)</formula>
    </cfRule>
  </conditionalFormatting>
  <conditionalFormatting sqref="AE156:AE158">
    <cfRule type="expression" dxfId="27" priority="83">
      <formula>AE156=MAX(X$65:X$73)</formula>
    </cfRule>
  </conditionalFormatting>
  <conditionalFormatting sqref="AE242:AE248">
    <cfRule type="expression" dxfId="26" priority="13">
      <formula>AE242=MAX(AE$65:AE$73)</formula>
    </cfRule>
  </conditionalFormatting>
  <conditionalFormatting sqref="AE253:AE259">
    <cfRule type="expression" dxfId="25" priority="10">
      <formula>AE253=MAX(AE$65:AE$73)</formula>
    </cfRule>
  </conditionalFormatting>
  <conditionalFormatting sqref="AE264:AE270">
    <cfRule type="expression" dxfId="24" priority="7">
      <formula>AE264=MAX(AE$65:AE$73)</formula>
    </cfRule>
  </conditionalFormatting>
  <conditionalFormatting sqref="AE275:AE281">
    <cfRule type="expression" dxfId="23" priority="4">
      <formula>AE275=MAX(AE$65:AE$73)</formula>
    </cfRule>
  </conditionalFormatting>
  <conditionalFormatting sqref="AE286:AE292">
    <cfRule type="expression" dxfId="22" priority="1">
      <formula>AE286=MAX(AE$65:AE$73)</formula>
    </cfRule>
  </conditionalFormatting>
  <conditionalFormatting sqref="AE242:AJ247">
    <cfRule type="expression" dxfId="21" priority="14">
      <formula>AE242=MAX(AG$65:AG$73)</formula>
    </cfRule>
  </conditionalFormatting>
  <conditionalFormatting sqref="AE253:AJ258">
    <cfRule type="expression" dxfId="20" priority="11">
      <formula>AE253=MAX(AG$65:AG$73)</formula>
    </cfRule>
  </conditionalFormatting>
  <conditionalFormatting sqref="AE264:AJ269">
    <cfRule type="expression" dxfId="19" priority="8">
      <formula>AE264=MAX(AG$65:AG$73)</formula>
    </cfRule>
  </conditionalFormatting>
  <conditionalFormatting sqref="AE275:AJ280">
    <cfRule type="expression" dxfId="18" priority="5">
      <formula>AE275=MAX(AG$65:AG$73)</formula>
    </cfRule>
  </conditionalFormatting>
  <conditionalFormatting sqref="AE286:AJ291">
    <cfRule type="expression" dxfId="17" priority="2">
      <formula>AE286=MAX(AG$65:AG$73)</formula>
    </cfRule>
  </conditionalFormatting>
  <conditionalFormatting sqref="AF156:AF158">
    <cfRule type="expression" dxfId="16" priority="84">
      <formula>AF156=MAX(Y$20:Y$28)</formula>
    </cfRule>
  </conditionalFormatting>
  <conditionalFormatting sqref="AF225:AF227">
    <cfRule type="expression" dxfId="15" priority="111">
      <formula>AF225=MAX(G$20:G$28)</formula>
    </cfRule>
  </conditionalFormatting>
  <conditionalFormatting sqref="AF242:AF248">
    <cfRule type="expression" dxfId="14" priority="15">
      <formula>AF242=MAX(AN$65:AN$73)</formula>
    </cfRule>
  </conditionalFormatting>
  <conditionalFormatting sqref="AF253:AF259">
    <cfRule type="expression" dxfId="13" priority="12">
      <formula>AF253=MAX(AN$65:AN$73)</formula>
    </cfRule>
  </conditionalFormatting>
  <conditionalFormatting sqref="AF264:AF270">
    <cfRule type="expression" dxfId="12" priority="9">
      <formula>AF264=MAX(AN$65:AN$73)</formula>
    </cfRule>
  </conditionalFormatting>
  <conditionalFormatting sqref="AF275:AF281">
    <cfRule type="expression" dxfId="11" priority="6">
      <formula>AF275=MAX(AN$65:AN$73)</formula>
    </cfRule>
  </conditionalFormatting>
  <conditionalFormatting sqref="AF286:AF292">
    <cfRule type="expression" dxfId="10" priority="3">
      <formula>AF286=MAX(AN$65:AN$73)</formula>
    </cfRule>
  </conditionalFormatting>
  <conditionalFormatting sqref="AI114:AO131">
    <cfRule type="expression" dxfId="9" priority="78">
      <formula>AI114=MAX(AB$65:AB$73)</formula>
    </cfRule>
  </conditionalFormatting>
  <conditionalFormatting sqref="AI133:AO142">
    <cfRule type="expression" dxfId="8" priority="82">
      <formula>AI133=MAX(AB$65:AB$73)</formula>
    </cfRule>
  </conditionalFormatting>
  <conditionalFormatting sqref="AI144:AO153">
    <cfRule type="expression" dxfId="7" priority="81">
      <formula>AI144=MAX(AB$65:AB$73)</formula>
    </cfRule>
  </conditionalFormatting>
  <conditionalFormatting sqref="AI155:AO164">
    <cfRule type="expression" dxfId="6" priority="80">
      <formula>AI155=MAX(AB$65:AB$73)</formula>
    </cfRule>
  </conditionalFormatting>
  <conditionalFormatting sqref="AI166:AO169">
    <cfRule type="expression" dxfId="5" priority="76">
      <formula>AI166=MAX(AB$65:AB$73)</formula>
    </cfRule>
  </conditionalFormatting>
  <conditionalFormatting sqref="AM116:AO116">
    <cfRule type="expression" dxfId="4" priority="79">
      <formula>AM116=MAX(AF$65:AF$73)</formula>
    </cfRule>
  </conditionalFormatting>
  <conditionalFormatting sqref="AP126:AP158">
    <cfRule type="expression" dxfId="3" priority="86">
      <formula>AP126=MAX(AI$65:AI$73)</formula>
    </cfRule>
  </conditionalFormatting>
  <conditionalFormatting sqref="AS214:AS216">
    <cfRule type="expression" dxfId="2" priority="109">
      <formula>AS214=MAX(M$11:M$19)</formula>
    </cfRule>
  </conditionalFormatting>
  <conditionalFormatting sqref="AU214:AU216">
    <cfRule type="expression" dxfId="1" priority="107">
      <formula>AU214=MAX(O$65:O$73)</formula>
    </cfRule>
  </conditionalFormatting>
  <conditionalFormatting sqref="AV214:AV216">
    <cfRule type="expression" dxfId="0" priority="108">
      <formula>AV214=MAX(P$20:P$28)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1 Z T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D P V l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Z T V y i K R 7 g O A A A A E Q A A A B M A H A B G b 3 J t d W x h c y 9 T Z W N 0 a W 9 u M S 5 t I K I Y A C i g F A A A A A A A A A A A A A A A A A A A A A A A A A A A A C t O T S 7 J z M 9 T C I b Q h t Y A U E s B A i 0 A F A A C A A g A z 1 Z T V + s 4 p D y j A A A A 9 g A A A B I A A A A A A A A A A A A A A A A A A A A A A E N v b m Z p Z y 9 Q Y W N r Y W d l L n h t b F B L A Q I t A B Q A A g A I A M 9 W U 1 c P y u m r p A A A A O k A A A A T A A A A A A A A A A A A A A A A A O 8 A A A B b Q 2 9 u d G V u d F 9 U e X B l c 1 0 u e G 1 s U E s B A i 0 A F A A C A A g A z 1 Z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9 X a L j 0 + 8 p A t O 4 j B M n 7 n b I A A A A A A g A A A A A A E G Y A A A A B A A A g A A A A 6 X E H l Y g Y m c g e 9 s y 4 Q L h b S P O d 2 o k k f E / r n z A u u n P s O 6 w A A A A A D o A A A A A C A A A g A A A A k I 1 h B B 4 y L u z u 2 N J P I 6 s x w 7 d / P 6 u n U J / J D b F 0 z Z / U 9 F d Q A A A A h a s 0 d 5 5 r D w 7 D 5 e Z 0 e 5 C f u a P P Y y N l f 4 5 F p r x C p 8 g b D 7 Y / H F K y V w E 3 J G Y J w E g a O y e 2 N e R 9 k 7 + u s U U O u Y / q k Y d L j 8 C A 0 1 x 8 e 0 a P n u G f D K Y v O G V A A A A A E j G 7 s v 2 m + A S 0 G M s X h g R Y d R z u M T T 4 G 7 Q k H i x k e M i z 8 A M m j Y 2 l 4 3 q A p H D x q 7 k S T S w F I v + k Z E i d O E w O Y J H R 3 D J H 3 w = = < / D a t a M a s h u p > 
</file>

<file path=customXml/itemProps1.xml><?xml version="1.0" encoding="utf-8"?>
<ds:datastoreItem xmlns:ds="http://schemas.openxmlformats.org/officeDocument/2006/customXml" ds:itemID="{23FBD532-90C9-44C1-BB35-3553552BC7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李幸阜</dc:creator>
  <cp:lastModifiedBy>幸阜 李</cp:lastModifiedBy>
  <dcterms:created xsi:type="dcterms:W3CDTF">2015-06-05T18:19:00Z</dcterms:created>
  <dcterms:modified xsi:type="dcterms:W3CDTF">2024-10-21T05:56:54Z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42C79D0AE0764B7387A56C93FA56F689_12</vt:lpwstr>
  </property>
  <property fmtid="{D5CDD505-2E9C-101B-9397-08002B2CF9AE}" pid="3" name="KSOProductBuildVer">
    <vt:lpwstr>2052-11.1.0.14036</vt:lpwstr>
  </property>
</Properties>
</file>