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dzaarif7/Desktop/38154/"/>
    </mc:Choice>
  </mc:AlternateContent>
  <xr:revisionPtr revIDLastSave="0" documentId="13_ncr:1_{9415FE76-D69B-4547-B8B8-120E7719E420}" xr6:coauthVersionLast="47" xr6:coauthVersionMax="47" xr10:uidLastSave="{00000000-0000-0000-0000-000000000000}"/>
  <bookViews>
    <workbookView xWindow="0" yWindow="500" windowWidth="28800" windowHeight="15980" activeTab="1" xr2:uid="{2635395F-4295-4B5B-B72B-A3F4AD361D20}"/>
  </bookViews>
  <sheets>
    <sheet name="Data" sheetId="1" r:id="rId1"/>
    <sheet name="S2-Central Moving Average" sheetId="2" r:id="rId2"/>
    <sheet name="S2-Removing Trend" sheetId="3" r:id="rId3"/>
    <sheet name="S2-Seasonality Identification" sheetId="4" r:id="rId4"/>
    <sheet name="S2-Estimated Seasonal Pattern" sheetId="5" r:id="rId5"/>
    <sheet name="S2-Noise and Irregularities" sheetId="6" r:id="rId6"/>
    <sheet name="S2-Time Series Components" sheetId="7" r:id="rId7"/>
    <sheet name="S3-Seasonal Naive" sheetId="8" r:id="rId8"/>
    <sheet name="S3-Seasonal Average" sheetId="9" r:id="rId9"/>
    <sheet name="S3-Seasonal Exp. Smoothing" sheetId="10" r:id="rId10"/>
    <sheet name="S3-Comparison of Errors" sheetId="11" r:id="rId11"/>
    <sheet name="S4-Random Number Generation" sheetId="14" r:id="rId12"/>
    <sheet name="S4-Inventory Simulation" sheetId="12" r:id="rId13"/>
    <sheet name="S4-Inventory Simulation (w EOQ)" sheetId="26" r:id="rId14"/>
    <sheet name="S5-Linear Programming" sheetId="21" r:id="rId15"/>
    <sheet name="S5-LP Answer Report" sheetId="28" r:id="rId16"/>
    <sheet name="S6-Poisson Distance" sheetId="22" r:id="rId17"/>
    <sheet name="S6-Random Number Generation" sheetId="24" r:id="rId18"/>
    <sheet name="S6-Final Solution" sheetId="25" r:id="rId19"/>
    <sheet name="S6-Final Chart" sheetId="27" r:id="rId20"/>
  </sheets>
  <definedNames>
    <definedName name="solver_adj" localSheetId="14" hidden="1">'S5-Linear Programming'!$B$20:$F$24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itr" localSheetId="14" hidden="1">2147483647</definedName>
    <definedName name="solver_lhs1" localSheetId="14" hidden="1">'S5-Linear Programming'!$B$20:$F$24</definedName>
    <definedName name="solver_lhs2" localSheetId="14" hidden="1">'S5-Linear Programming'!$B$29:$F$29</definedName>
    <definedName name="solver_lin" localSheetId="14" hidden="1">2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2</definedName>
    <definedName name="solver_opt" localSheetId="14" hidden="1">'S5-Linear Programming'!$G$14</definedName>
    <definedName name="solver_pre" localSheetId="14" hidden="1">0.000001</definedName>
    <definedName name="solver_rbv" localSheetId="14" hidden="1">1</definedName>
    <definedName name="solver_rel1" localSheetId="14" hidden="1">5</definedName>
    <definedName name="solver_rel2" localSheetId="14" hidden="1">2</definedName>
    <definedName name="solver_rhs1" localSheetId="14" hidden="1">"binary"</definedName>
    <definedName name="solver_rhs2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2</definedName>
    <definedName name="solver_val" localSheetId="14" hidden="1">0</definedName>
    <definedName name="solver_ver" localSheetId="1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1" l="1"/>
  <c r="B16" i="21"/>
  <c r="F92" i="12" l="1"/>
  <c r="F93" i="12"/>
  <c r="F94" i="12"/>
  <c r="F95" i="12"/>
  <c r="F96" i="12"/>
  <c r="F97" i="12"/>
  <c r="F98" i="12"/>
  <c r="F99" i="12"/>
  <c r="F100" i="12"/>
  <c r="F91" i="12"/>
  <c r="F99" i="26"/>
  <c r="F98" i="26"/>
  <c r="F91" i="26"/>
  <c r="F92" i="26"/>
  <c r="F93" i="26"/>
  <c r="F94" i="26"/>
  <c r="F95" i="26"/>
  <c r="F96" i="26"/>
  <c r="F97" i="26"/>
  <c r="F90" i="26"/>
  <c r="C70" i="26"/>
  <c r="D70" i="26" s="1"/>
  <c r="G41" i="26"/>
  <c r="G40" i="26"/>
  <c r="G39" i="26"/>
  <c r="G38" i="26"/>
  <c r="E38" i="26"/>
  <c r="S37" i="26"/>
  <c r="R37" i="26"/>
  <c r="Q37" i="26"/>
  <c r="G37" i="26"/>
  <c r="S36" i="26"/>
  <c r="R36" i="26"/>
  <c r="Q36" i="26"/>
  <c r="G36" i="26"/>
  <c r="G35" i="26"/>
  <c r="E35" i="26"/>
  <c r="S34" i="26"/>
  <c r="R34" i="26"/>
  <c r="Q34" i="26"/>
  <c r="G34" i="26"/>
  <c r="G33" i="26"/>
  <c r="E33" i="26"/>
  <c r="S32" i="26"/>
  <c r="R32" i="26"/>
  <c r="Q32" i="26"/>
  <c r="G32" i="26"/>
  <c r="S31" i="26"/>
  <c r="R31" i="26"/>
  <c r="Q31" i="26"/>
  <c r="G31" i="26"/>
  <c r="S30" i="26"/>
  <c r="R30" i="26"/>
  <c r="Q30" i="26"/>
  <c r="G30" i="26"/>
  <c r="G29" i="26"/>
  <c r="E29" i="26"/>
  <c r="S28" i="26"/>
  <c r="R28" i="26"/>
  <c r="Q28" i="26"/>
  <c r="G28" i="26"/>
  <c r="S27" i="26"/>
  <c r="R27" i="26"/>
  <c r="Q27" i="26"/>
  <c r="G27" i="26"/>
  <c r="G26" i="26"/>
  <c r="E26" i="26"/>
  <c r="S25" i="26"/>
  <c r="R25" i="26"/>
  <c r="Q25" i="26"/>
  <c r="T25" i="26" s="1"/>
  <c r="G25" i="26"/>
  <c r="S24" i="26"/>
  <c r="R24" i="26"/>
  <c r="Q24" i="26"/>
  <c r="G24" i="26"/>
  <c r="G23" i="26"/>
  <c r="E23" i="26"/>
  <c r="K22" i="26"/>
  <c r="E22" i="26"/>
  <c r="F18" i="26"/>
  <c r="D18" i="26"/>
  <c r="F17" i="26"/>
  <c r="D17" i="26"/>
  <c r="E18" i="26" s="1"/>
  <c r="F16" i="26"/>
  <c r="D16" i="26"/>
  <c r="E17" i="26" s="1"/>
  <c r="F15" i="26"/>
  <c r="D15" i="26"/>
  <c r="E16" i="26" s="1"/>
  <c r="F10" i="26"/>
  <c r="D10" i="26"/>
  <c r="F9" i="26"/>
  <c r="D9" i="26"/>
  <c r="E10" i="26" s="1"/>
  <c r="F8" i="26"/>
  <c r="D8" i="26"/>
  <c r="E9" i="26" s="1"/>
  <c r="F7" i="26"/>
  <c r="D7" i="26"/>
  <c r="E8" i="26" s="1"/>
  <c r="F6" i="26"/>
  <c r="D6" i="26"/>
  <c r="E7" i="26" s="1"/>
  <c r="H28" i="26" l="1"/>
  <c r="H39" i="26"/>
  <c r="H23" i="26"/>
  <c r="H31" i="26"/>
  <c r="H26" i="26"/>
  <c r="T31" i="26"/>
  <c r="H38" i="26"/>
  <c r="F33" i="26"/>
  <c r="H33" i="26"/>
  <c r="H29" i="26"/>
  <c r="H40" i="26"/>
  <c r="H25" i="26"/>
  <c r="T27" i="26"/>
  <c r="H30" i="26"/>
  <c r="H32" i="26"/>
  <c r="T34" i="26"/>
  <c r="H37" i="26"/>
  <c r="T32" i="26"/>
  <c r="T28" i="26"/>
  <c r="T30" i="26"/>
  <c r="T24" i="26"/>
  <c r="T37" i="26"/>
  <c r="F26" i="26"/>
  <c r="T36" i="26"/>
  <c r="F38" i="26"/>
  <c r="F35" i="26"/>
  <c r="H35" i="26"/>
  <c r="F22" i="26"/>
  <c r="H27" i="26"/>
  <c r="I26" i="26" s="1"/>
  <c r="C72" i="26" s="1"/>
  <c r="H41" i="26"/>
  <c r="C48" i="26"/>
  <c r="L22" i="26"/>
  <c r="H34" i="26"/>
  <c r="I33" i="26" s="1"/>
  <c r="C74" i="26" s="1"/>
  <c r="F23" i="26"/>
  <c r="H24" i="26"/>
  <c r="F29" i="26"/>
  <c r="H36" i="26"/>
  <c r="E70" i="26"/>
  <c r="I38" i="26" l="1"/>
  <c r="C76" i="26" s="1"/>
  <c r="I29" i="26"/>
  <c r="C73" i="26" s="1"/>
  <c r="I23" i="26"/>
  <c r="C71" i="26" s="1"/>
  <c r="D71" i="26" s="1"/>
  <c r="D74" i="26"/>
  <c r="E71" i="26"/>
  <c r="D72" i="26"/>
  <c r="D73" i="26"/>
  <c r="I35" i="26"/>
  <c r="C75" i="26" s="1"/>
  <c r="D75" i="26" s="1"/>
  <c r="C49" i="26"/>
  <c r="S22" i="26"/>
  <c r="E80" i="26" s="1"/>
  <c r="R22" i="26"/>
  <c r="D80" i="26" s="1"/>
  <c r="N22" i="26"/>
  <c r="E75" i="26" l="1"/>
  <c r="D76" i="26"/>
  <c r="E76" i="26" s="1"/>
  <c r="O49" i="26" s="1"/>
  <c r="O50" i="26" s="1"/>
  <c r="O51" i="26" s="1"/>
  <c r="E74" i="26"/>
  <c r="O23" i="26"/>
  <c r="K23" i="26" s="1"/>
  <c r="Q22" i="26"/>
  <c r="E73" i="26"/>
  <c r="E72" i="26"/>
  <c r="C80" i="26" l="1"/>
  <c r="T22" i="26"/>
  <c r="L23" i="26"/>
  <c r="C50" i="26"/>
  <c r="R23" i="26" l="1"/>
  <c r="D81" i="26" s="1"/>
  <c r="C51" i="26"/>
  <c r="S23" i="26"/>
  <c r="E81" i="26" s="1"/>
  <c r="C70" i="12" l="1"/>
  <c r="D70" i="12" s="1"/>
  <c r="E70" i="12" l="1"/>
  <c r="E17" i="25" l="1"/>
  <c r="F17" i="25" s="1"/>
  <c r="D7" i="25"/>
  <c r="D4" i="25"/>
  <c r="B11" i="22"/>
  <c r="C12" i="22" s="1"/>
  <c r="B30" i="22"/>
  <c r="C31" i="22" s="1"/>
  <c r="B35" i="22"/>
  <c r="C36" i="22" s="1"/>
  <c r="B51" i="22"/>
  <c r="C52" i="22" s="1"/>
  <c r="B54" i="22"/>
  <c r="C55" i="22" s="1"/>
  <c r="B59" i="22"/>
  <c r="C60" i="22" s="1"/>
  <c r="B62" i="22"/>
  <c r="C63" i="22" s="1"/>
  <c r="B67" i="22"/>
  <c r="C68" i="22" s="1"/>
  <c r="B70" i="22"/>
  <c r="C71" i="22" s="1"/>
  <c r="B2" i="22"/>
  <c r="B16" i="22" s="1"/>
  <c r="C17" i="22" s="1"/>
  <c r="B43" i="22" l="1"/>
  <c r="C44" i="22" s="1"/>
  <c r="B75" i="22"/>
  <c r="C76" i="22" s="1"/>
  <c r="B38" i="22"/>
  <c r="C39" i="22" s="1"/>
  <c r="G17" i="25"/>
  <c r="F2" i="27" s="1"/>
  <c r="L17" i="25"/>
  <c r="H17" i="25"/>
  <c r="B83" i="22"/>
  <c r="B78" i="22"/>
  <c r="C79" i="22" s="1"/>
  <c r="B46" i="22"/>
  <c r="C47" i="22" s="1"/>
  <c r="B14" i="22"/>
  <c r="C15" i="22" s="1"/>
  <c r="B27" i="22"/>
  <c r="C28" i="22" s="1"/>
  <c r="B22" i="22"/>
  <c r="C23" i="22" s="1"/>
  <c r="B19" i="22"/>
  <c r="C20" i="22" s="1"/>
  <c r="B82" i="22"/>
  <c r="C83" i="22" s="1"/>
  <c r="B58" i="22"/>
  <c r="C59" i="22" s="1"/>
  <c r="B42" i="22"/>
  <c r="C43" i="22" s="1"/>
  <c r="B81" i="22"/>
  <c r="C82" i="22" s="1"/>
  <c r="B49" i="22"/>
  <c r="C50" i="22" s="1"/>
  <c r="B33" i="22"/>
  <c r="C34" i="22" s="1"/>
  <c r="B80" i="22"/>
  <c r="C81" i="22" s="1"/>
  <c r="B79" i="22"/>
  <c r="C80" i="22" s="1"/>
  <c r="B71" i="22"/>
  <c r="C72" i="22" s="1"/>
  <c r="B63" i="22"/>
  <c r="C64" i="22" s="1"/>
  <c r="B55" i="22"/>
  <c r="C56" i="22" s="1"/>
  <c r="B47" i="22"/>
  <c r="C48" i="22" s="1"/>
  <c r="B39" i="22"/>
  <c r="C40" i="22" s="1"/>
  <c r="B31" i="22"/>
  <c r="C32" i="22" s="1"/>
  <c r="B23" i="22"/>
  <c r="C24" i="22" s="1"/>
  <c r="B15" i="22"/>
  <c r="C16" i="22" s="1"/>
  <c r="B77" i="22"/>
  <c r="C78" i="22" s="1"/>
  <c r="B69" i="22"/>
  <c r="C70" i="22" s="1"/>
  <c r="B61" i="22"/>
  <c r="C62" i="22" s="1"/>
  <c r="B53" i="22"/>
  <c r="C54" i="22" s="1"/>
  <c r="B45" i="22"/>
  <c r="C46" i="22" s="1"/>
  <c r="B37" i="22"/>
  <c r="C38" i="22" s="1"/>
  <c r="B29" i="22"/>
  <c r="C30" i="22" s="1"/>
  <c r="B21" i="22"/>
  <c r="C22" i="22" s="1"/>
  <c r="B13" i="22"/>
  <c r="C14" i="22" s="1"/>
  <c r="B8" i="22"/>
  <c r="C9" i="22" s="1"/>
  <c r="B76" i="22"/>
  <c r="C77" i="22" s="1"/>
  <c r="B68" i="22"/>
  <c r="C69" i="22" s="1"/>
  <c r="B60" i="22"/>
  <c r="C61" i="22" s="1"/>
  <c r="B52" i="22"/>
  <c r="C53" i="22" s="1"/>
  <c r="B44" i="22"/>
  <c r="C45" i="22" s="1"/>
  <c r="B36" i="22"/>
  <c r="C37" i="22" s="1"/>
  <c r="B28" i="22"/>
  <c r="C29" i="22" s="1"/>
  <c r="B20" i="22"/>
  <c r="C21" i="22" s="1"/>
  <c r="B12" i="22"/>
  <c r="C13" i="22" s="1"/>
  <c r="B74" i="22"/>
  <c r="C75" i="22" s="1"/>
  <c r="B50" i="22"/>
  <c r="C51" i="22" s="1"/>
  <c r="B34" i="22"/>
  <c r="C35" i="22" s="1"/>
  <c r="B18" i="22"/>
  <c r="C19" i="22" s="1"/>
  <c r="B10" i="22"/>
  <c r="C11" i="22" s="1"/>
  <c r="B73" i="22"/>
  <c r="C74" i="22" s="1"/>
  <c r="B57" i="22"/>
  <c r="C58" i="22" s="1"/>
  <c r="B41" i="22"/>
  <c r="C42" i="22" s="1"/>
  <c r="B25" i="22"/>
  <c r="C26" i="22" s="1"/>
  <c r="B9" i="22"/>
  <c r="C10" i="22" s="1"/>
  <c r="B66" i="22"/>
  <c r="C67" i="22" s="1"/>
  <c r="B26" i="22"/>
  <c r="C27" i="22" s="1"/>
  <c r="B65" i="22"/>
  <c r="C66" i="22" s="1"/>
  <c r="B17" i="22"/>
  <c r="C18" i="22" s="1"/>
  <c r="B72" i="22"/>
  <c r="C73" i="22" s="1"/>
  <c r="B64" i="22"/>
  <c r="C65" i="22" s="1"/>
  <c r="B56" i="22"/>
  <c r="C57" i="22" s="1"/>
  <c r="B48" i="22"/>
  <c r="C49" i="22" s="1"/>
  <c r="B40" i="22"/>
  <c r="C41" i="22" s="1"/>
  <c r="B32" i="22"/>
  <c r="C33" i="22" s="1"/>
  <c r="B24" i="22"/>
  <c r="C25" i="22" s="1"/>
  <c r="C21" i="25" l="1"/>
  <c r="B6" i="27" s="1"/>
  <c r="C29" i="25"/>
  <c r="B14" i="27" s="1"/>
  <c r="C27" i="25"/>
  <c r="B12" i="27" s="1"/>
  <c r="C22" i="25"/>
  <c r="B7" i="27" s="1"/>
  <c r="C30" i="25"/>
  <c r="B15" i="27" s="1"/>
  <c r="C23" i="25"/>
  <c r="B8" i="27" s="1"/>
  <c r="C31" i="25"/>
  <c r="B16" i="27" s="1"/>
  <c r="C24" i="25"/>
  <c r="B9" i="27" s="1"/>
  <c r="C25" i="25"/>
  <c r="B10" i="27" s="1"/>
  <c r="C19" i="25"/>
  <c r="B4" i="27" s="1"/>
  <c r="C18" i="25"/>
  <c r="B3" i="27" s="1"/>
  <c r="C26" i="25"/>
  <c r="B11" i="27" s="1"/>
  <c r="C20" i="25"/>
  <c r="B5" i="27" s="1"/>
  <c r="C28" i="25"/>
  <c r="B13" i="27" s="1"/>
  <c r="C17" i="25"/>
  <c r="D17" i="25" l="1"/>
  <c r="B2" i="27"/>
  <c r="C2" i="27" s="1"/>
  <c r="D18" i="25"/>
  <c r="I17" i="25"/>
  <c r="C3" i="27" l="1"/>
  <c r="J17" i="25"/>
  <c r="G2" i="27" s="1"/>
  <c r="M17" i="25"/>
  <c r="I2" i="27" s="1"/>
  <c r="D2" i="27" s="1"/>
  <c r="K17" i="25"/>
  <c r="E18" i="25" s="1"/>
  <c r="D19" i="25"/>
  <c r="N17" i="25"/>
  <c r="E2" i="27" s="1"/>
  <c r="C4" i="27" l="1"/>
  <c r="I18" i="25"/>
  <c r="F18" i="25"/>
  <c r="D20" i="25"/>
  <c r="C5" i="27" l="1"/>
  <c r="L18" i="25"/>
  <c r="H3" i="27" s="1"/>
  <c r="D3" i="27" s="1"/>
  <c r="G18" i="25"/>
  <c r="F3" i="27" s="1"/>
  <c r="N18" i="25"/>
  <c r="E3" i="27" s="1"/>
  <c r="D21" i="25"/>
  <c r="K18" i="25"/>
  <c r="J18" i="25"/>
  <c r="G3" i="27" s="1"/>
  <c r="M18" i="25"/>
  <c r="H18" i="25" l="1"/>
  <c r="C6" i="27"/>
  <c r="E19" i="25"/>
  <c r="D22" i="25"/>
  <c r="C7" i="27" l="1"/>
  <c r="D23" i="25"/>
  <c r="F19" i="25"/>
  <c r="I19" i="25"/>
  <c r="C8" i="27" l="1"/>
  <c r="M19" i="25"/>
  <c r="I4" i="27" s="1"/>
  <c r="D4" i="27" s="1"/>
  <c r="J19" i="25"/>
  <c r="L19" i="25"/>
  <c r="H19" i="25"/>
  <c r="G19" i="25"/>
  <c r="F4" i="27" s="1"/>
  <c r="N19" i="25"/>
  <c r="E4" i="27" s="1"/>
  <c r="D24" i="25"/>
  <c r="K19" i="25" l="1"/>
  <c r="G4" i="27"/>
  <c r="C9" i="27"/>
  <c r="D25" i="25"/>
  <c r="E20" i="25"/>
  <c r="C10" i="27" l="1"/>
  <c r="F20" i="25"/>
  <c r="I20" i="25"/>
  <c r="D26" i="25"/>
  <c r="C11" i="27" l="1"/>
  <c r="D27" i="25"/>
  <c r="M20" i="25"/>
  <c r="I5" i="27" s="1"/>
  <c r="D5" i="27" s="1"/>
  <c r="J20" i="25"/>
  <c r="L20" i="25"/>
  <c r="G20" i="25"/>
  <c r="F5" i="27" s="1"/>
  <c r="H20" i="25"/>
  <c r="N20" i="25"/>
  <c r="E5" i="27" s="1"/>
  <c r="K20" i="25" l="1"/>
  <c r="G5" i="27"/>
  <c r="C12" i="27"/>
  <c r="E21" i="25"/>
  <c r="D28" i="25"/>
  <c r="C13" i="27" l="1"/>
  <c r="F21" i="25"/>
  <c r="I21" i="25"/>
  <c r="D29" i="25"/>
  <c r="C14" i="27" l="1"/>
  <c r="D30" i="25"/>
  <c r="M21" i="25"/>
  <c r="K21" i="25"/>
  <c r="J21" i="25"/>
  <c r="G6" i="27" s="1"/>
  <c r="L21" i="25"/>
  <c r="H6" i="27" s="1"/>
  <c r="D6" i="27" s="1"/>
  <c r="G21" i="25"/>
  <c r="N21" i="25"/>
  <c r="E6" i="27" s="1"/>
  <c r="H21" i="25" l="1"/>
  <c r="F6" i="27"/>
  <c r="C15" i="27"/>
  <c r="E22" i="25"/>
  <c r="D31" i="25"/>
  <c r="C16" i="27" l="1"/>
  <c r="F22" i="25"/>
  <c r="I22" i="25"/>
  <c r="M22" i="25" l="1"/>
  <c r="I7" i="27" s="1"/>
  <c r="D7" i="27" s="1"/>
  <c r="J22" i="25"/>
  <c r="G7" i="27" s="1"/>
  <c r="K22" i="25"/>
  <c r="L22" i="25"/>
  <c r="H22" i="25"/>
  <c r="G22" i="25"/>
  <c r="F7" i="27" s="1"/>
  <c r="N22" i="25"/>
  <c r="E7" i="27" s="1"/>
  <c r="E23" i="25" l="1"/>
  <c r="F23" i="25" l="1"/>
  <c r="I23" i="25"/>
  <c r="M23" i="25" l="1"/>
  <c r="I8" i="27" s="1"/>
  <c r="D8" i="27" s="1"/>
  <c r="J23" i="25"/>
  <c r="G8" i="27" s="1"/>
  <c r="K23" i="25"/>
  <c r="L23" i="25"/>
  <c r="H23" i="25"/>
  <c r="E24" i="25" s="1"/>
  <c r="N23" i="25"/>
  <c r="E8" i="27" s="1"/>
  <c r="G23" i="25"/>
  <c r="F8" i="27" s="1"/>
  <c r="F24" i="25" l="1"/>
  <c r="I24" i="25"/>
  <c r="M24" i="25" l="1"/>
  <c r="K24" i="25"/>
  <c r="J24" i="25"/>
  <c r="G9" i="27" s="1"/>
  <c r="L24" i="25"/>
  <c r="H9" i="27" s="1"/>
  <c r="D9" i="27" s="1"/>
  <c r="N24" i="25"/>
  <c r="E9" i="27" s="1"/>
  <c r="G24" i="25"/>
  <c r="F9" i="27" s="1"/>
  <c r="H24" i="25" l="1"/>
  <c r="E25" i="25"/>
  <c r="F25" i="25" l="1"/>
  <c r="I25" i="25"/>
  <c r="M25" i="25" l="1"/>
  <c r="I10" i="27" s="1"/>
  <c r="D10" i="27" s="1"/>
  <c r="J25" i="25"/>
  <c r="G10" i="27" s="1"/>
  <c r="K25" i="25"/>
  <c r="L25" i="25"/>
  <c r="N25" i="25"/>
  <c r="E10" i="27" s="1"/>
  <c r="H25" i="25"/>
  <c r="E26" i="25" s="1"/>
  <c r="G25" i="25"/>
  <c r="F10" i="27" s="1"/>
  <c r="F26" i="25" l="1"/>
  <c r="I26" i="25"/>
  <c r="C29" i="21"/>
  <c r="D29" i="21"/>
  <c r="E29" i="21"/>
  <c r="F29" i="21"/>
  <c r="B29" i="21"/>
  <c r="G10" i="21"/>
  <c r="G11" i="21"/>
  <c r="G12" i="21"/>
  <c r="G13" i="21"/>
  <c r="G9" i="21"/>
  <c r="M26" i="25" l="1"/>
  <c r="K26" i="25"/>
  <c r="J26" i="25"/>
  <c r="G11" i="27" s="1"/>
  <c r="L26" i="25"/>
  <c r="H11" i="27" s="1"/>
  <c r="D11" i="27" s="1"/>
  <c r="N26" i="25"/>
  <c r="E11" i="27" s="1"/>
  <c r="G26" i="25"/>
  <c r="G14" i="21"/>
  <c r="Q24" i="12"/>
  <c r="T24" i="12" s="1"/>
  <c r="R24" i="12"/>
  <c r="S24" i="12"/>
  <c r="Q25" i="12"/>
  <c r="T25" i="12" s="1"/>
  <c r="R25" i="12"/>
  <c r="S25" i="12"/>
  <c r="Q27" i="12"/>
  <c r="R27" i="12"/>
  <c r="S27" i="12"/>
  <c r="Q28" i="12"/>
  <c r="R28" i="12"/>
  <c r="S28" i="12"/>
  <c r="T28" i="12"/>
  <c r="Q30" i="12"/>
  <c r="R30" i="12"/>
  <c r="S30" i="12"/>
  <c r="Q31" i="12"/>
  <c r="R31" i="12"/>
  <c r="S31" i="12"/>
  <c r="T31" i="12"/>
  <c r="Q32" i="12"/>
  <c r="R32" i="12"/>
  <c r="S32" i="12"/>
  <c r="Q34" i="12"/>
  <c r="T34" i="12" s="1"/>
  <c r="R34" i="12"/>
  <c r="S34" i="12"/>
  <c r="Q36" i="12"/>
  <c r="R36" i="12"/>
  <c r="S36" i="12"/>
  <c r="Q37" i="12"/>
  <c r="R37" i="12"/>
  <c r="S37" i="12"/>
  <c r="K22" i="12"/>
  <c r="C48" i="12" s="1"/>
  <c r="G41" i="12"/>
  <c r="G40" i="12"/>
  <c r="G39" i="12"/>
  <c r="G38" i="12"/>
  <c r="E38" i="12"/>
  <c r="G37" i="12"/>
  <c r="G36" i="12"/>
  <c r="G35" i="12"/>
  <c r="E35" i="12"/>
  <c r="G34" i="12"/>
  <c r="G33" i="12"/>
  <c r="E33" i="12"/>
  <c r="G32" i="12"/>
  <c r="G31" i="12"/>
  <c r="G30" i="12"/>
  <c r="G29" i="12"/>
  <c r="E29" i="12"/>
  <c r="G28" i="12"/>
  <c r="G27" i="12"/>
  <c r="G26" i="12"/>
  <c r="E26" i="12"/>
  <c r="G25" i="12"/>
  <c r="G24" i="12"/>
  <c r="G23" i="12"/>
  <c r="E23" i="12"/>
  <c r="E22" i="12"/>
  <c r="E8" i="12"/>
  <c r="D16" i="12"/>
  <c r="E17" i="12" s="1"/>
  <c r="D17" i="12"/>
  <c r="E18" i="12" s="1"/>
  <c r="D18" i="12"/>
  <c r="D15" i="12"/>
  <c r="E16" i="12" s="1"/>
  <c r="D7" i="12"/>
  <c r="D8" i="12"/>
  <c r="E9" i="12" s="1"/>
  <c r="D9" i="12"/>
  <c r="E10" i="12" s="1"/>
  <c r="D10" i="12"/>
  <c r="D6" i="12"/>
  <c r="E7" i="12" s="1"/>
  <c r="T37" i="12" l="1"/>
  <c r="T27" i="12"/>
  <c r="H26" i="25"/>
  <c r="E27" i="25" s="1"/>
  <c r="I27" i="25" s="1"/>
  <c r="F11" i="27"/>
  <c r="T32" i="12"/>
  <c r="T36" i="12"/>
  <c r="T30" i="12"/>
  <c r="H41" i="12"/>
  <c r="F29" i="12"/>
  <c r="H24" i="12"/>
  <c r="H40" i="12"/>
  <c r="H28" i="12"/>
  <c r="L22" i="12"/>
  <c r="F27" i="25"/>
  <c r="F16" i="12"/>
  <c r="H36" i="12" s="1"/>
  <c r="F17" i="12"/>
  <c r="H35" i="12" s="1"/>
  <c r="F18" i="12"/>
  <c r="H25" i="12" s="1"/>
  <c r="F15" i="12"/>
  <c r="H39" i="12" s="1"/>
  <c r="F7" i="12"/>
  <c r="F8" i="12"/>
  <c r="F33" i="12" s="1"/>
  <c r="F9" i="12"/>
  <c r="F26" i="12" s="1"/>
  <c r="F10" i="12"/>
  <c r="F38" i="12" s="1"/>
  <c r="F6" i="12"/>
  <c r="F22" i="12" s="1"/>
  <c r="H33" i="12" l="1"/>
  <c r="F35" i="12"/>
  <c r="H29" i="12"/>
  <c r="H34" i="12"/>
  <c r="H30" i="12"/>
  <c r="H38" i="12"/>
  <c r="I38" i="12" s="1"/>
  <c r="C76" i="12" s="1"/>
  <c r="F23" i="12"/>
  <c r="I33" i="12"/>
  <c r="C74" i="12" s="1"/>
  <c r="H32" i="12"/>
  <c r="M27" i="25"/>
  <c r="J27" i="25"/>
  <c r="G12" i="27" s="1"/>
  <c r="K27" i="25"/>
  <c r="H23" i="12"/>
  <c r="I23" i="12" s="1"/>
  <c r="C71" i="12" s="1"/>
  <c r="D71" i="12" s="1"/>
  <c r="C49" i="12"/>
  <c r="R22" i="12"/>
  <c r="D80" i="12" s="1"/>
  <c r="N22" i="12"/>
  <c r="S22" i="12"/>
  <c r="E80" i="12" s="1"/>
  <c r="H27" i="12"/>
  <c r="H37" i="12"/>
  <c r="I35" i="12" s="1"/>
  <c r="C75" i="12" s="1"/>
  <c r="H26" i="12"/>
  <c r="L27" i="25"/>
  <c r="H12" i="27" s="1"/>
  <c r="D12" i="27" s="1"/>
  <c r="N27" i="25"/>
  <c r="E12" i="27" s="1"/>
  <c r="G27" i="25"/>
  <c r="H31" i="12"/>
  <c r="D75" i="12" l="1"/>
  <c r="H27" i="25"/>
  <c r="E28" i="25" s="1"/>
  <c r="I28" i="25" s="1"/>
  <c r="F12" i="27"/>
  <c r="I29" i="12"/>
  <c r="C73" i="12" s="1"/>
  <c r="D74" i="12" s="1"/>
  <c r="O23" i="12"/>
  <c r="K23" i="12" s="1"/>
  <c r="Q22" i="12"/>
  <c r="E72" i="12"/>
  <c r="E71" i="12"/>
  <c r="F28" i="25"/>
  <c r="I26" i="12"/>
  <c r="C72" i="12" s="1"/>
  <c r="D72" i="12" s="1"/>
  <c r="D76" i="12"/>
  <c r="L28" i="25" l="1"/>
  <c r="H13" i="27" s="1"/>
  <c r="D13" i="27" s="1"/>
  <c r="N28" i="25"/>
  <c r="E13" i="27" s="1"/>
  <c r="G28" i="25"/>
  <c r="T22" i="12"/>
  <c r="C80" i="12"/>
  <c r="M28" i="25"/>
  <c r="J28" i="25"/>
  <c r="G13" i="27" s="1"/>
  <c r="K28" i="25"/>
  <c r="C50" i="12"/>
  <c r="L23" i="12"/>
  <c r="D73" i="12"/>
  <c r="H28" i="25" l="1"/>
  <c r="E29" i="25" s="1"/>
  <c r="I29" i="25" s="1"/>
  <c r="F13" i="27"/>
  <c r="E74" i="12"/>
  <c r="E73" i="12"/>
  <c r="E76" i="12"/>
  <c r="O49" i="12" s="1"/>
  <c r="O50" i="12" s="1"/>
  <c r="O51" i="12" s="1"/>
  <c r="L17" i="26" s="1"/>
  <c r="N23" i="26" s="1"/>
  <c r="C51" i="12"/>
  <c r="R23" i="12"/>
  <c r="D81" i="12" s="1"/>
  <c r="S23" i="12"/>
  <c r="E81" i="12" s="1"/>
  <c r="N23" i="12"/>
  <c r="E75" i="12"/>
  <c r="F29" i="25" l="1"/>
  <c r="H29" i="25" s="1"/>
  <c r="E30" i="25" s="1"/>
  <c r="O26" i="26"/>
  <c r="K26" i="26" s="1"/>
  <c r="Q23" i="26"/>
  <c r="L29" i="25"/>
  <c r="N29" i="25"/>
  <c r="E14" i="27" s="1"/>
  <c r="G29" i="25"/>
  <c r="F14" i="27" s="1"/>
  <c r="O26" i="12"/>
  <c r="K26" i="12" s="1"/>
  <c r="Q23" i="12"/>
  <c r="M29" i="25"/>
  <c r="I14" i="27" s="1"/>
  <c r="D14" i="27" s="1"/>
  <c r="J29" i="25"/>
  <c r="G14" i="27" s="1"/>
  <c r="K29" i="25"/>
  <c r="C81" i="12" l="1"/>
  <c r="T23" i="12"/>
  <c r="C52" i="12"/>
  <c r="L26" i="12"/>
  <c r="I30" i="25"/>
  <c r="F30" i="25"/>
  <c r="C81" i="26"/>
  <c r="T23" i="26"/>
  <c r="C52" i="26"/>
  <c r="L26" i="26"/>
  <c r="L30" i="25" l="1"/>
  <c r="H15" i="27" s="1"/>
  <c r="D15" i="27" s="1"/>
  <c r="N30" i="25"/>
  <c r="E15" i="27" s="1"/>
  <c r="G30" i="25"/>
  <c r="C53" i="26"/>
  <c r="N26" i="26"/>
  <c r="S26" i="26"/>
  <c r="E82" i="26" s="1"/>
  <c r="R26" i="26"/>
  <c r="D82" i="26" s="1"/>
  <c r="M30" i="25"/>
  <c r="J30" i="25"/>
  <c r="G15" i="27" s="1"/>
  <c r="K30" i="25"/>
  <c r="C53" i="12"/>
  <c r="S26" i="12"/>
  <c r="E82" i="12" s="1"/>
  <c r="N26" i="12"/>
  <c r="R26" i="12"/>
  <c r="D82" i="12" s="1"/>
  <c r="H30" i="25" l="1"/>
  <c r="E31" i="25" s="1"/>
  <c r="F15" i="27"/>
  <c r="Q26" i="12"/>
  <c r="O29" i="12"/>
  <c r="K29" i="12" s="1"/>
  <c r="O29" i="26"/>
  <c r="K29" i="26" s="1"/>
  <c r="Q26" i="26"/>
  <c r="F31" i="25"/>
  <c r="I31" i="25"/>
  <c r="L31" i="25" l="1"/>
  <c r="J4" i="25" s="1"/>
  <c r="N31" i="25"/>
  <c r="E16" i="27" s="1"/>
  <c r="G31" i="25"/>
  <c r="F16" i="27" s="1"/>
  <c r="H31" i="25"/>
  <c r="C82" i="26"/>
  <c r="T26" i="26"/>
  <c r="M31" i="25"/>
  <c r="J31" i="25"/>
  <c r="C54" i="26"/>
  <c r="L29" i="26"/>
  <c r="C54" i="12"/>
  <c r="L29" i="12"/>
  <c r="C82" i="12"/>
  <c r="T26" i="12"/>
  <c r="J8" i="25" l="1"/>
  <c r="I16" i="27"/>
  <c r="D16" i="27" s="1"/>
  <c r="K31" i="25"/>
  <c r="G16" i="27"/>
  <c r="J9" i="25"/>
  <c r="N29" i="12"/>
  <c r="S29" i="12"/>
  <c r="E83" i="12" s="1"/>
  <c r="C55" i="12"/>
  <c r="R29" i="12"/>
  <c r="D83" i="12" s="1"/>
  <c r="N29" i="26"/>
  <c r="S29" i="26"/>
  <c r="E83" i="26" s="1"/>
  <c r="C55" i="26"/>
  <c r="R29" i="26"/>
  <c r="D83" i="26" s="1"/>
  <c r="G6" i="25"/>
  <c r="G5" i="25"/>
  <c r="G4" i="25"/>
  <c r="J5" i="25"/>
  <c r="O33" i="26" l="1"/>
  <c r="K33" i="26" s="1"/>
  <c r="Q29" i="26"/>
  <c r="Q29" i="12"/>
  <c r="O33" i="12"/>
  <c r="K33" i="12" s="1"/>
  <c r="C83" i="12" l="1"/>
  <c r="T29" i="12"/>
  <c r="C56" i="12"/>
  <c r="L33" i="12"/>
  <c r="C83" i="26"/>
  <c r="T29" i="26"/>
  <c r="L33" i="26"/>
  <c r="C56" i="26"/>
  <c r="N33" i="26" l="1"/>
  <c r="C57" i="26"/>
  <c r="S33" i="26"/>
  <c r="E84" i="26" s="1"/>
  <c r="R33" i="26"/>
  <c r="D84" i="26" s="1"/>
  <c r="R33" i="12"/>
  <c r="D84" i="12" s="1"/>
  <c r="C57" i="12"/>
  <c r="N33" i="12"/>
  <c r="S33" i="12"/>
  <c r="E84" i="12" s="1"/>
  <c r="O35" i="12" l="1"/>
  <c r="K35" i="12" s="1"/>
  <c r="Q33" i="12"/>
  <c r="Q33" i="26"/>
  <c r="O35" i="26"/>
  <c r="K35" i="26" s="1"/>
  <c r="L35" i="26" l="1"/>
  <c r="C58" i="26"/>
  <c r="C84" i="26"/>
  <c r="T33" i="26"/>
  <c r="C84" i="12"/>
  <c r="T33" i="12"/>
  <c r="C58" i="12"/>
  <c r="L35" i="12"/>
  <c r="C59" i="12" l="1"/>
  <c r="R35" i="12"/>
  <c r="D85" i="12" s="1"/>
  <c r="S35" i="12"/>
  <c r="E85" i="12" s="1"/>
  <c r="N35" i="12"/>
  <c r="C59" i="26"/>
  <c r="S35" i="26"/>
  <c r="E85" i="26" s="1"/>
  <c r="R35" i="26"/>
  <c r="D85" i="26" s="1"/>
  <c r="N35" i="26"/>
  <c r="O38" i="26" l="1"/>
  <c r="K38" i="26" s="1"/>
  <c r="Q35" i="26"/>
  <c r="O38" i="12"/>
  <c r="K38" i="12" s="1"/>
  <c r="Q35" i="12"/>
  <c r="T35" i="12" l="1"/>
  <c r="C85" i="12"/>
  <c r="C60" i="12"/>
  <c r="L38" i="12"/>
  <c r="T35" i="26"/>
  <c r="C85" i="26"/>
  <c r="C60" i="26"/>
  <c r="L38" i="26"/>
  <c r="A36" i="10"/>
  <c r="A35" i="10"/>
  <c r="A33" i="10"/>
  <c r="A29" i="10"/>
  <c r="A28" i="10"/>
  <c r="J25" i="10"/>
  <c r="U25" i="10"/>
  <c r="Y25" i="10"/>
  <c r="AK25" i="10"/>
  <c r="AW25" i="10"/>
  <c r="AX25" i="10"/>
  <c r="AY25" i="10"/>
  <c r="AZ25" i="10"/>
  <c r="BA25" i="10"/>
  <c r="AW1" i="10"/>
  <c r="AX1" i="10"/>
  <c r="AY1" i="10"/>
  <c r="AZ1" i="10"/>
  <c r="BA1" i="10"/>
  <c r="BB1" i="10"/>
  <c r="BB25" i="10" s="1"/>
  <c r="BC1" i="10"/>
  <c r="BC25" i="10" s="1"/>
  <c r="BD1" i="10"/>
  <c r="BD25" i="10" s="1"/>
  <c r="BE1" i="10"/>
  <c r="BE25" i="10" s="1"/>
  <c r="BF1" i="10"/>
  <c r="BF25" i="10" s="1"/>
  <c r="O1" i="10"/>
  <c r="O25" i="10" s="1"/>
  <c r="P1" i="10"/>
  <c r="P25" i="10" s="1"/>
  <c r="Q1" i="10"/>
  <c r="Q25" i="10" s="1"/>
  <c r="R1" i="10"/>
  <c r="R25" i="10" s="1"/>
  <c r="S1" i="10"/>
  <c r="S25" i="10" s="1"/>
  <c r="T1" i="10"/>
  <c r="T25" i="10" s="1"/>
  <c r="U1" i="10"/>
  <c r="V1" i="10"/>
  <c r="V25" i="10" s="1"/>
  <c r="W1" i="10"/>
  <c r="W25" i="10" s="1"/>
  <c r="X1" i="10"/>
  <c r="X25" i="10" s="1"/>
  <c r="Y1" i="10"/>
  <c r="Z1" i="10"/>
  <c r="Z25" i="10" s="1"/>
  <c r="AA1" i="10"/>
  <c r="AA25" i="10" s="1"/>
  <c r="AB1" i="10"/>
  <c r="AB25" i="10" s="1"/>
  <c r="AC1" i="10"/>
  <c r="AC25" i="10" s="1"/>
  <c r="AD1" i="10"/>
  <c r="AD25" i="10" s="1"/>
  <c r="AE1" i="10"/>
  <c r="AE25" i="10" s="1"/>
  <c r="AF1" i="10"/>
  <c r="AF25" i="10" s="1"/>
  <c r="AG1" i="10"/>
  <c r="AG25" i="10" s="1"/>
  <c r="AH1" i="10"/>
  <c r="AH25" i="10" s="1"/>
  <c r="AI1" i="10"/>
  <c r="AI25" i="10" s="1"/>
  <c r="AJ1" i="10"/>
  <c r="AJ25" i="10" s="1"/>
  <c r="AK1" i="10"/>
  <c r="AL1" i="10"/>
  <c r="AL25" i="10" s="1"/>
  <c r="AM1" i="10"/>
  <c r="AM25" i="10" s="1"/>
  <c r="AN1" i="10"/>
  <c r="AN25" i="10" s="1"/>
  <c r="AO1" i="10"/>
  <c r="AO25" i="10" s="1"/>
  <c r="AP1" i="10"/>
  <c r="AP25" i="10" s="1"/>
  <c r="AQ1" i="10"/>
  <c r="AQ25" i="10" s="1"/>
  <c r="AR1" i="10"/>
  <c r="AR25" i="10" s="1"/>
  <c r="AS1" i="10"/>
  <c r="AS25" i="10" s="1"/>
  <c r="AT1" i="10"/>
  <c r="AT25" i="10" s="1"/>
  <c r="AU1" i="10"/>
  <c r="AU25" i="10" s="1"/>
  <c r="AV1" i="10"/>
  <c r="AV25" i="10" s="1"/>
  <c r="D1" i="10"/>
  <c r="D25" i="10" s="1"/>
  <c r="E1" i="10"/>
  <c r="E25" i="10" s="1"/>
  <c r="F1" i="10"/>
  <c r="F25" i="10" s="1"/>
  <c r="G1" i="10"/>
  <c r="G25" i="10" s="1"/>
  <c r="H1" i="10"/>
  <c r="H25" i="10" s="1"/>
  <c r="I1" i="10"/>
  <c r="I25" i="10" s="1"/>
  <c r="J1" i="10"/>
  <c r="K1" i="10"/>
  <c r="K25" i="10" s="1"/>
  <c r="L1" i="10"/>
  <c r="L25" i="10" s="1"/>
  <c r="M1" i="10"/>
  <c r="M25" i="10" s="1"/>
  <c r="N1" i="10"/>
  <c r="N25" i="10" s="1"/>
  <c r="C1" i="10"/>
  <c r="C25" i="10" s="1"/>
  <c r="C61" i="26" l="1"/>
  <c r="S38" i="26"/>
  <c r="E86" i="26" s="1"/>
  <c r="E87" i="26" s="1"/>
  <c r="D104" i="26" s="1"/>
  <c r="R38" i="26"/>
  <c r="D86" i="26" s="1"/>
  <c r="D87" i="26" s="1"/>
  <c r="C104" i="26" s="1"/>
  <c r="N38" i="26"/>
  <c r="Q38" i="26" s="1"/>
  <c r="C61" i="12"/>
  <c r="S38" i="12"/>
  <c r="E86" i="12" s="1"/>
  <c r="E87" i="12" s="1"/>
  <c r="D103" i="26" s="1"/>
  <c r="N38" i="12"/>
  <c r="Q38" i="12" s="1"/>
  <c r="R38" i="12"/>
  <c r="D86" i="12" s="1"/>
  <c r="D87" i="12" s="1"/>
  <c r="C103" i="26" s="1"/>
  <c r="U24" i="9"/>
  <c r="AI24" i="9"/>
  <c r="AJ24" i="9"/>
  <c r="AK24" i="9"/>
  <c r="C24" i="9"/>
  <c r="B2" i="9" a="1"/>
  <c r="J24" i="9" s="1"/>
  <c r="B2" i="8" a="1"/>
  <c r="V22" i="8" s="1"/>
  <c r="AB23" i="8" s="1"/>
  <c r="AC24" i="8" s="1"/>
  <c r="AC27" i="8" s="1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AK22" i="8" l="1"/>
  <c r="AQ23" i="8" s="1"/>
  <c r="AR24" i="8" s="1"/>
  <c r="J22" i="8"/>
  <c r="P23" i="8" s="1"/>
  <c r="Q24" i="8" s="1"/>
  <c r="U22" i="8"/>
  <c r="AA23" i="8" s="1"/>
  <c r="AB24" i="8" s="1"/>
  <c r="T22" i="8"/>
  <c r="Z23" i="8" s="1"/>
  <c r="AA24" i="8" s="1"/>
  <c r="T24" i="9"/>
  <c r="E24" i="9"/>
  <c r="S24" i="9"/>
  <c r="D24" i="9"/>
  <c r="R24" i="9"/>
  <c r="I22" i="8"/>
  <c r="O23" i="8" s="1"/>
  <c r="P24" i="8" s="1"/>
  <c r="E22" i="8"/>
  <c r="K23" i="8" s="1"/>
  <c r="L24" i="8" s="1"/>
  <c r="L27" i="8" s="1"/>
  <c r="AU22" i="8"/>
  <c r="BA23" i="8" s="1"/>
  <c r="BB24" i="8" s="1"/>
  <c r="AH24" i="9"/>
  <c r="C22" i="8"/>
  <c r="I23" i="8" s="1"/>
  <c r="J24" i="8" s="1"/>
  <c r="J27" i="8" s="1"/>
  <c r="AS22" i="8"/>
  <c r="AY23" i="8" s="1"/>
  <c r="AZ24" i="8" s="1"/>
  <c r="AC22" i="8"/>
  <c r="AI23" i="8" s="1"/>
  <c r="AJ24" i="8" s="1"/>
  <c r="AJ27" i="8" s="1"/>
  <c r="AS24" i="9"/>
  <c r="AC24" i="9"/>
  <c r="M24" i="9"/>
  <c r="Q22" i="8"/>
  <c r="W23" i="8" s="1"/>
  <c r="X24" i="8" s="1"/>
  <c r="AR22" i="8"/>
  <c r="AX23" i="8" s="1"/>
  <c r="AY24" i="8" s="1"/>
  <c r="AY27" i="8" s="1"/>
  <c r="AB22" i="8"/>
  <c r="AH23" i="8" s="1"/>
  <c r="AI24" i="8" s="1"/>
  <c r="AI27" i="8" s="1"/>
  <c r="AR24" i="9"/>
  <c r="AB24" i="9"/>
  <c r="L24" i="9"/>
  <c r="AJ22" i="8"/>
  <c r="AP23" i="8" s="1"/>
  <c r="AQ24" i="8" s="1"/>
  <c r="AE22" i="8"/>
  <c r="AK23" i="8" s="1"/>
  <c r="AL24" i="8" s="1"/>
  <c r="AL27" i="8" s="1"/>
  <c r="AL29" i="8" s="1"/>
  <c r="D22" i="8"/>
  <c r="J23" i="8" s="1"/>
  <c r="K24" i="8" s="1"/>
  <c r="K27" i="8" s="1"/>
  <c r="K29" i="8" s="1"/>
  <c r="AT22" i="8"/>
  <c r="AZ23" i="8" s="1"/>
  <c r="BA24" i="8" s="1"/>
  <c r="AD22" i="8"/>
  <c r="AJ23" i="8" s="1"/>
  <c r="AK24" i="8" s="1"/>
  <c r="AX24" i="9"/>
  <c r="L22" i="8"/>
  <c r="R23" i="8" s="1"/>
  <c r="S24" i="8" s="1"/>
  <c r="S27" i="8" s="1"/>
  <c r="AM22" i="8"/>
  <c r="AS23" i="8" s="1"/>
  <c r="AT24" i="8" s="1"/>
  <c r="AT27" i="8" s="1"/>
  <c r="W22" i="8"/>
  <c r="AC23" i="8" s="1"/>
  <c r="AD24" i="8" s="1"/>
  <c r="AD27" i="8" s="1"/>
  <c r="AQ24" i="9"/>
  <c r="AA24" i="9"/>
  <c r="K24" i="9"/>
  <c r="K22" i="8"/>
  <c r="Q23" i="8" s="1"/>
  <c r="R24" i="8" s="1"/>
  <c r="AL22" i="8"/>
  <c r="AR23" i="8" s="1"/>
  <c r="AS24" i="8" s="1"/>
  <c r="AS27" i="8" s="1"/>
  <c r="AP24" i="9"/>
  <c r="Z24" i="9"/>
  <c r="L28" i="8"/>
  <c r="L29" i="8"/>
  <c r="AD29" i="8"/>
  <c r="AD28" i="8"/>
  <c r="AL28" i="8"/>
  <c r="AC29" i="8"/>
  <c r="AC28" i="8"/>
  <c r="K25" i="9"/>
  <c r="L26" i="9" s="1"/>
  <c r="L47" i="9" s="1"/>
  <c r="AF25" i="9"/>
  <c r="AG26" i="9" s="1"/>
  <c r="AG47" i="9" s="1"/>
  <c r="J25" i="9"/>
  <c r="K26" i="9" s="1"/>
  <c r="K47" i="9" s="1"/>
  <c r="Q25" i="9"/>
  <c r="R26" i="9" s="1"/>
  <c r="R47" i="9" s="1"/>
  <c r="X25" i="9"/>
  <c r="Y26" i="9" s="1"/>
  <c r="F22" i="8"/>
  <c r="L23" i="8" s="1"/>
  <c r="M24" i="8" s="1"/>
  <c r="M27" i="8" s="1"/>
  <c r="M22" i="8"/>
  <c r="S23" i="8" s="1"/>
  <c r="T24" i="8" s="1"/>
  <c r="T27" i="8" s="1"/>
  <c r="AV22" i="8"/>
  <c r="BB23" i="8" s="1"/>
  <c r="BC24" i="8" s="1"/>
  <c r="AN22" i="8"/>
  <c r="AT23" i="8" s="1"/>
  <c r="AU24" i="8" s="1"/>
  <c r="AU27" i="8" s="1"/>
  <c r="AF22" i="8"/>
  <c r="AL23" i="8" s="1"/>
  <c r="AM24" i="8" s="1"/>
  <c r="AM27" i="8" s="1"/>
  <c r="X22" i="8"/>
  <c r="AD23" i="8" s="1"/>
  <c r="AE24" i="8" s="1"/>
  <c r="AE27" i="8" s="1"/>
  <c r="AZ27" i="8"/>
  <c r="AQ27" i="8"/>
  <c r="I25" i="9"/>
  <c r="J26" i="9" s="1"/>
  <c r="J47" i="9" s="1"/>
  <c r="P25" i="9"/>
  <c r="Q26" i="9" s="1"/>
  <c r="Q47" i="9" s="1"/>
  <c r="B2" i="8"/>
  <c r="B22" i="8" s="1"/>
  <c r="H23" i="8" s="1"/>
  <c r="I24" i="8" s="1"/>
  <c r="I27" i="8" s="1"/>
  <c r="P27" i="8"/>
  <c r="X27" i="8"/>
  <c r="P22" i="8"/>
  <c r="V23" i="8" s="1"/>
  <c r="W24" i="8" s="1"/>
  <c r="W27" i="8" s="1"/>
  <c r="H22" i="8"/>
  <c r="N23" i="8" s="1"/>
  <c r="O24" i="8" s="1"/>
  <c r="O27" i="8" s="1"/>
  <c r="AQ22" i="8"/>
  <c r="AW23" i="8" s="1"/>
  <c r="AX24" i="8" s="1"/>
  <c r="AX27" i="8" s="1"/>
  <c r="AI22" i="8"/>
  <c r="AO23" i="8" s="1"/>
  <c r="AP24" i="8" s="1"/>
  <c r="AP27" i="8" s="1"/>
  <c r="AA22" i="8"/>
  <c r="AG23" i="8" s="1"/>
  <c r="AH24" i="8" s="1"/>
  <c r="AH27" i="8" s="1"/>
  <c r="S22" i="8"/>
  <c r="Y23" i="8" s="1"/>
  <c r="Z24" i="8" s="1"/>
  <c r="Z27" i="8" s="1"/>
  <c r="BC27" i="8"/>
  <c r="AK27" i="8"/>
  <c r="AB27" i="8"/>
  <c r="O22" i="8"/>
  <c r="U23" i="8" s="1"/>
  <c r="V24" i="8" s="1"/>
  <c r="V27" i="8" s="1"/>
  <c r="AX22" i="8"/>
  <c r="BD23" i="8" s="1"/>
  <c r="BE24" i="8" s="1"/>
  <c r="BE27" i="8" s="1"/>
  <c r="AP22" i="8"/>
  <c r="AV23" i="8" s="1"/>
  <c r="AW24" i="8" s="1"/>
  <c r="AW27" i="8" s="1"/>
  <c r="AH22" i="8"/>
  <c r="AN23" i="8" s="1"/>
  <c r="AO24" i="8" s="1"/>
  <c r="AO27" i="8" s="1"/>
  <c r="Z22" i="8"/>
  <c r="AF23" i="8" s="1"/>
  <c r="AG24" i="8" s="1"/>
  <c r="AG27" i="8" s="1"/>
  <c r="R22" i="8"/>
  <c r="X23" i="8" s="1"/>
  <c r="Y24" i="8" s="1"/>
  <c r="Y27" i="8" s="1"/>
  <c r="BB27" i="8"/>
  <c r="AA27" i="8"/>
  <c r="R27" i="8"/>
  <c r="G22" i="8"/>
  <c r="M23" i="8" s="1"/>
  <c r="N24" i="8" s="1"/>
  <c r="N27" i="8" s="1"/>
  <c r="N22" i="8"/>
  <c r="T23" i="8" s="1"/>
  <c r="U24" i="8" s="1"/>
  <c r="U27" i="8" s="1"/>
  <c r="AW22" i="8"/>
  <c r="BC23" i="8" s="1"/>
  <c r="BD24" i="8" s="1"/>
  <c r="BD27" i="8" s="1"/>
  <c r="AO22" i="8"/>
  <c r="AU23" i="8" s="1"/>
  <c r="AV24" i="8" s="1"/>
  <c r="AV27" i="8" s="1"/>
  <c r="AG22" i="8"/>
  <c r="AM23" i="8" s="1"/>
  <c r="AN24" i="8" s="1"/>
  <c r="AN27" i="8" s="1"/>
  <c r="Y22" i="8"/>
  <c r="AE23" i="8" s="1"/>
  <c r="AF24" i="8" s="1"/>
  <c r="AF27" i="8" s="1"/>
  <c r="BA27" i="8"/>
  <c r="AR27" i="8"/>
  <c r="Q27" i="8"/>
  <c r="AT24" i="9"/>
  <c r="AL24" i="9"/>
  <c r="AD24" i="9"/>
  <c r="V24" i="9"/>
  <c r="N24" i="9"/>
  <c r="F24" i="9"/>
  <c r="C86" i="26"/>
  <c r="C87" i="26" s="1"/>
  <c r="B104" i="26" s="1"/>
  <c r="E104" i="26" s="1"/>
  <c r="T38" i="26"/>
  <c r="T45" i="26" s="1"/>
  <c r="T46" i="26" s="1"/>
  <c r="AW24" i="9"/>
  <c r="AO24" i="9"/>
  <c r="AG24" i="9"/>
  <c r="Y24" i="9"/>
  <c r="Q24" i="9"/>
  <c r="I24" i="9"/>
  <c r="AV24" i="9"/>
  <c r="AN24" i="9"/>
  <c r="AF24" i="9"/>
  <c r="X24" i="9"/>
  <c r="P24" i="9"/>
  <c r="H24" i="9"/>
  <c r="B2" i="9"/>
  <c r="F2" i="10"/>
  <c r="F26" i="10" s="1"/>
  <c r="N2" i="10"/>
  <c r="V2" i="10"/>
  <c r="AD2" i="10"/>
  <c r="AL2" i="10"/>
  <c r="AT2" i="10"/>
  <c r="BB2" i="10"/>
  <c r="AG2" i="10"/>
  <c r="AH2" i="10"/>
  <c r="AI2" i="10"/>
  <c r="G2" i="10"/>
  <c r="G26" i="10" s="1"/>
  <c r="O2" i="10"/>
  <c r="W2" i="10"/>
  <c r="AE2" i="10"/>
  <c r="AM2" i="10"/>
  <c r="AU2" i="10"/>
  <c r="BC2" i="10"/>
  <c r="I2" i="10"/>
  <c r="I26" i="10" s="1"/>
  <c r="Q2" i="10"/>
  <c r="Y2" i="10"/>
  <c r="Z2" i="10"/>
  <c r="S2" i="10"/>
  <c r="AY2" i="10"/>
  <c r="H2" i="10"/>
  <c r="H26" i="10" s="1"/>
  <c r="P2" i="10"/>
  <c r="X2" i="10"/>
  <c r="AF2" i="10"/>
  <c r="AN2" i="10"/>
  <c r="AV2" i="10"/>
  <c r="BD2" i="10"/>
  <c r="AO2" i="10"/>
  <c r="AW2" i="10"/>
  <c r="BE2" i="10"/>
  <c r="AX2" i="10"/>
  <c r="K2" i="10"/>
  <c r="AQ2" i="10"/>
  <c r="R2" i="10"/>
  <c r="D2" i="10"/>
  <c r="D26" i="10" s="1"/>
  <c r="L2" i="10"/>
  <c r="T2" i="10"/>
  <c r="AB2" i="10"/>
  <c r="AJ2" i="10"/>
  <c r="AR2" i="10"/>
  <c r="AZ2" i="10"/>
  <c r="E2" i="10"/>
  <c r="E26" i="10" s="1"/>
  <c r="M2" i="10"/>
  <c r="U2" i="10"/>
  <c r="AC2" i="10"/>
  <c r="AK2" i="10"/>
  <c r="AS2" i="10"/>
  <c r="BA2" i="10"/>
  <c r="J2" i="10"/>
  <c r="AP2" i="10"/>
  <c r="BF2" i="10"/>
  <c r="AA2" i="10"/>
  <c r="AU24" i="9"/>
  <c r="AM24" i="9"/>
  <c r="AE24" i="9"/>
  <c r="W24" i="9"/>
  <c r="O24" i="9"/>
  <c r="G24" i="9"/>
  <c r="Y47" i="9"/>
  <c r="C86" i="12"/>
  <c r="C87" i="12" s="1"/>
  <c r="B103" i="26" s="1"/>
  <c r="E103" i="26" s="1"/>
  <c r="T38" i="12"/>
  <c r="T45" i="12" s="1"/>
  <c r="T46" i="12" s="1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D2" i="5"/>
  <c r="I2" i="5"/>
  <c r="E3" i="5"/>
  <c r="O4" i="4"/>
  <c r="G2" i="5" s="1"/>
  <c r="K6" i="4"/>
  <c r="C4" i="5" s="1"/>
  <c r="D54" i="4"/>
  <c r="E54" i="4" s="1"/>
  <c r="Q7" i="4" s="1"/>
  <c r="I5" i="5" s="1"/>
  <c r="D53" i="4"/>
  <c r="E53" i="4" s="1"/>
  <c r="Q6" i="4" s="1"/>
  <c r="I4" i="5" s="1"/>
  <c r="D52" i="4"/>
  <c r="E52" i="4" s="1"/>
  <c r="Q5" i="4" s="1"/>
  <c r="I3" i="5" s="1"/>
  <c r="D51" i="4"/>
  <c r="E51" i="4" s="1"/>
  <c r="Q4" i="4" s="1"/>
  <c r="D50" i="4"/>
  <c r="E50" i="4" s="1"/>
  <c r="P10" i="4" s="1"/>
  <c r="H8" i="5" s="1"/>
  <c r="D49" i="4"/>
  <c r="E49" i="4" s="1"/>
  <c r="P9" i="4" s="1"/>
  <c r="H7" i="5" s="1"/>
  <c r="D48" i="4"/>
  <c r="E48" i="4" s="1"/>
  <c r="P8" i="4" s="1"/>
  <c r="H6" i="5" s="1"/>
  <c r="D47" i="4"/>
  <c r="E47" i="4" s="1"/>
  <c r="P7" i="4" s="1"/>
  <c r="H5" i="5" s="1"/>
  <c r="D46" i="4"/>
  <c r="E46" i="4" s="1"/>
  <c r="P6" i="4" s="1"/>
  <c r="H4" i="5" s="1"/>
  <c r="D45" i="4"/>
  <c r="E45" i="4" s="1"/>
  <c r="P5" i="4" s="1"/>
  <c r="H3" i="5" s="1"/>
  <c r="D44" i="4"/>
  <c r="E44" i="4" s="1"/>
  <c r="P4" i="4" s="1"/>
  <c r="H2" i="5" s="1"/>
  <c r="D43" i="4"/>
  <c r="E43" i="4" s="1"/>
  <c r="O10" i="4" s="1"/>
  <c r="G8" i="5" s="1"/>
  <c r="D42" i="4"/>
  <c r="E42" i="4" s="1"/>
  <c r="O9" i="4" s="1"/>
  <c r="G7" i="5" s="1"/>
  <c r="D41" i="4"/>
  <c r="E41" i="4" s="1"/>
  <c r="O8" i="4" s="1"/>
  <c r="G6" i="5" s="1"/>
  <c r="D40" i="4"/>
  <c r="E40" i="4" s="1"/>
  <c r="O7" i="4" s="1"/>
  <c r="G5" i="5" s="1"/>
  <c r="D39" i="4"/>
  <c r="E39" i="4" s="1"/>
  <c r="O6" i="4" s="1"/>
  <c r="G4" i="5" s="1"/>
  <c r="D38" i="4"/>
  <c r="E38" i="4" s="1"/>
  <c r="O5" i="4" s="1"/>
  <c r="G3" i="5" s="1"/>
  <c r="D37" i="4"/>
  <c r="E37" i="4" s="1"/>
  <c r="D36" i="4"/>
  <c r="E36" i="4" s="1"/>
  <c r="N10" i="4" s="1"/>
  <c r="F8" i="5" s="1"/>
  <c r="D35" i="4"/>
  <c r="E35" i="4" s="1"/>
  <c r="N9" i="4" s="1"/>
  <c r="F7" i="5" s="1"/>
  <c r="D34" i="4"/>
  <c r="E34" i="4" s="1"/>
  <c r="N8" i="4" s="1"/>
  <c r="F6" i="5" s="1"/>
  <c r="D33" i="4"/>
  <c r="E33" i="4" s="1"/>
  <c r="N7" i="4" s="1"/>
  <c r="F5" i="5" s="1"/>
  <c r="D32" i="4"/>
  <c r="E32" i="4" s="1"/>
  <c r="N6" i="4" s="1"/>
  <c r="F4" i="5" s="1"/>
  <c r="D31" i="4"/>
  <c r="E31" i="4" s="1"/>
  <c r="N5" i="4" s="1"/>
  <c r="F3" i="5" s="1"/>
  <c r="D30" i="4"/>
  <c r="E30" i="4" s="1"/>
  <c r="N4" i="4" s="1"/>
  <c r="F2" i="5" s="1"/>
  <c r="D29" i="4"/>
  <c r="E29" i="4" s="1"/>
  <c r="M10" i="4" s="1"/>
  <c r="E8" i="5" s="1"/>
  <c r="D28" i="4"/>
  <c r="E28" i="4" s="1"/>
  <c r="M9" i="4" s="1"/>
  <c r="E7" i="5" s="1"/>
  <c r="D27" i="4"/>
  <c r="E27" i="4" s="1"/>
  <c r="M8" i="4" s="1"/>
  <c r="E6" i="5" s="1"/>
  <c r="D26" i="4"/>
  <c r="E26" i="4" s="1"/>
  <c r="M7" i="4" s="1"/>
  <c r="E5" i="5" s="1"/>
  <c r="D25" i="4"/>
  <c r="E25" i="4" s="1"/>
  <c r="M6" i="4" s="1"/>
  <c r="E4" i="5" s="1"/>
  <c r="D24" i="4"/>
  <c r="E24" i="4" s="1"/>
  <c r="M5" i="4" s="1"/>
  <c r="D23" i="4"/>
  <c r="E23" i="4" s="1"/>
  <c r="M4" i="4" s="1"/>
  <c r="E2" i="5" s="1"/>
  <c r="D22" i="4"/>
  <c r="E22" i="4" s="1"/>
  <c r="L10" i="4" s="1"/>
  <c r="D8" i="5" s="1"/>
  <c r="D21" i="4"/>
  <c r="E21" i="4" s="1"/>
  <c r="L9" i="4" s="1"/>
  <c r="D7" i="5" s="1"/>
  <c r="D20" i="4"/>
  <c r="E20" i="4" s="1"/>
  <c r="L8" i="4" s="1"/>
  <c r="D6" i="5" s="1"/>
  <c r="D19" i="4"/>
  <c r="E19" i="4" s="1"/>
  <c r="L7" i="4" s="1"/>
  <c r="D5" i="5" s="1"/>
  <c r="D18" i="4"/>
  <c r="E18" i="4" s="1"/>
  <c r="L6" i="4" s="1"/>
  <c r="D4" i="5" s="1"/>
  <c r="D17" i="4"/>
  <c r="E17" i="4" s="1"/>
  <c r="L5" i="4" s="1"/>
  <c r="D3" i="5" s="1"/>
  <c r="D16" i="4"/>
  <c r="E16" i="4" s="1"/>
  <c r="L4" i="4" s="1"/>
  <c r="D15" i="4"/>
  <c r="E15" i="4" s="1"/>
  <c r="K10" i="4" s="1"/>
  <c r="C8" i="5" s="1"/>
  <c r="D14" i="4"/>
  <c r="E14" i="4" s="1"/>
  <c r="K9" i="4" s="1"/>
  <c r="C7" i="5" s="1"/>
  <c r="D13" i="4"/>
  <c r="E13" i="4" s="1"/>
  <c r="K8" i="4" s="1"/>
  <c r="C6" i="5" s="1"/>
  <c r="D12" i="4"/>
  <c r="E12" i="4" s="1"/>
  <c r="K7" i="4" s="1"/>
  <c r="C5" i="5" s="1"/>
  <c r="D11" i="4"/>
  <c r="E11" i="4" s="1"/>
  <c r="D10" i="4"/>
  <c r="E10" i="4" s="1"/>
  <c r="K5" i="4" s="1"/>
  <c r="C3" i="5" s="1"/>
  <c r="D9" i="4"/>
  <c r="E9" i="4" s="1"/>
  <c r="K4" i="4" s="1"/>
  <c r="C2" i="5" s="1"/>
  <c r="D8" i="4"/>
  <c r="E8" i="4" s="1"/>
  <c r="J10" i="4" s="1"/>
  <c r="B8" i="5" s="1"/>
  <c r="D7" i="4"/>
  <c r="E7" i="4" s="1"/>
  <c r="J9" i="4" s="1"/>
  <c r="B7" i="5" s="1"/>
  <c r="D6" i="4"/>
  <c r="E6" i="4" s="1"/>
  <c r="J8" i="4" s="1"/>
  <c r="B6" i="5" s="1"/>
  <c r="D5" i="4"/>
  <c r="E5" i="4" s="1"/>
  <c r="J7" i="4" s="1"/>
  <c r="B5" i="5" s="1"/>
  <c r="F6" i="3"/>
  <c r="F22" i="3"/>
  <c r="F24" i="3"/>
  <c r="F29" i="3"/>
  <c r="F48" i="3"/>
  <c r="F54" i="3"/>
  <c r="E6" i="3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E23" i="3"/>
  <c r="F23" i="3" s="1"/>
  <c r="E24" i="3"/>
  <c r="E25" i="3"/>
  <c r="F25" i="3" s="1"/>
  <c r="E26" i="3"/>
  <c r="F26" i="3" s="1"/>
  <c r="E27" i="3"/>
  <c r="F27" i="3" s="1"/>
  <c r="E28" i="3"/>
  <c r="F28" i="3" s="1"/>
  <c r="E29" i="3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E49" i="3"/>
  <c r="F49" i="3" s="1"/>
  <c r="E50" i="3"/>
  <c r="F50" i="3" s="1"/>
  <c r="E51" i="3"/>
  <c r="F51" i="3" s="1"/>
  <c r="E52" i="3"/>
  <c r="F52" i="3" s="1"/>
  <c r="E53" i="3"/>
  <c r="F53" i="3" s="1"/>
  <c r="E54" i="3"/>
  <c r="E5" i="3"/>
  <c r="F5" i="3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9" i="2"/>
  <c r="E5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" i="2"/>
  <c r="K28" i="8" l="1"/>
  <c r="M5" i="5"/>
  <c r="F45" i="7" s="1"/>
  <c r="AR29" i="9"/>
  <c r="Y25" i="9"/>
  <c r="Z26" i="9" s="1"/>
  <c r="Z47" i="9" s="1"/>
  <c r="AY28" i="8"/>
  <c r="AZ32" i="8"/>
  <c r="AY29" i="8"/>
  <c r="AY32" i="8"/>
  <c r="BD32" i="8"/>
  <c r="AM25" i="9"/>
  <c r="AN26" i="9" s="1"/>
  <c r="AN47" i="9" s="1"/>
  <c r="Z30" i="9"/>
  <c r="M6" i="5"/>
  <c r="F18" i="7" s="1"/>
  <c r="R25" i="9"/>
  <c r="S26" i="9" s="1"/>
  <c r="S47" i="9" s="1"/>
  <c r="M4" i="5"/>
  <c r="F23" i="6" s="1"/>
  <c r="G23" i="6" s="1"/>
  <c r="H23" i="6" s="1"/>
  <c r="G23" i="7" s="1"/>
  <c r="AT25" i="9"/>
  <c r="AU26" i="9" s="1"/>
  <c r="AU47" i="9" s="1"/>
  <c r="F46" i="7"/>
  <c r="F32" i="6"/>
  <c r="F51" i="6"/>
  <c r="F37" i="7"/>
  <c r="F9" i="7"/>
  <c r="F44" i="6"/>
  <c r="G44" i="6" s="1"/>
  <c r="H44" i="6" s="1"/>
  <c r="G44" i="7" s="1"/>
  <c r="F30" i="7"/>
  <c r="F9" i="6"/>
  <c r="F37" i="6"/>
  <c r="F30" i="6"/>
  <c r="G30" i="6" s="1"/>
  <c r="H30" i="6" s="1"/>
  <c r="G30" i="7" s="1"/>
  <c r="F16" i="6"/>
  <c r="G16" i="6" s="1"/>
  <c r="H16" i="6" s="1"/>
  <c r="G16" i="7" s="1"/>
  <c r="F44" i="7"/>
  <c r="F23" i="7"/>
  <c r="F16" i="7"/>
  <c r="P4" i="5"/>
  <c r="F10" i="6"/>
  <c r="G10" i="6" s="1"/>
  <c r="H10" i="6" s="1"/>
  <c r="G10" i="7" s="1"/>
  <c r="F17" i="7"/>
  <c r="F52" i="6"/>
  <c r="G52" i="6" s="1"/>
  <c r="H52" i="6" s="1"/>
  <c r="G52" i="7" s="1"/>
  <c r="F38" i="7"/>
  <c r="F10" i="7"/>
  <c r="F31" i="7"/>
  <c r="F38" i="6"/>
  <c r="G38" i="6" s="1"/>
  <c r="H38" i="6" s="1"/>
  <c r="G38" i="7" s="1"/>
  <c r="F24" i="7"/>
  <c r="F24" i="6"/>
  <c r="G24" i="6" s="1"/>
  <c r="H24" i="6" s="1"/>
  <c r="G24" i="7" s="1"/>
  <c r="F17" i="6"/>
  <c r="F45" i="6"/>
  <c r="G45" i="6" s="1"/>
  <c r="H45" i="6" s="1"/>
  <c r="G45" i="7" s="1"/>
  <c r="F31" i="6"/>
  <c r="P5" i="5"/>
  <c r="M10" i="5"/>
  <c r="M7" i="5"/>
  <c r="M8" i="5"/>
  <c r="AK30" i="9"/>
  <c r="AG30" i="9"/>
  <c r="AU49" i="9"/>
  <c r="AU48" i="9"/>
  <c r="AR33" i="9"/>
  <c r="AX37" i="9" s="1"/>
  <c r="AY42" i="9" s="1"/>
  <c r="AY57" i="9" s="1"/>
  <c r="Y28" i="8"/>
  <c r="Y29" i="8"/>
  <c r="G51" i="6"/>
  <c r="H51" i="6" s="1"/>
  <c r="G51" i="7" s="1"/>
  <c r="AN49" i="9"/>
  <c r="AN48" i="9"/>
  <c r="AB25" i="9"/>
  <c r="AC26" i="9" s="1"/>
  <c r="AC47" i="9" s="1"/>
  <c r="AP25" i="9"/>
  <c r="AQ26" i="9" s="1"/>
  <c r="AQ47" i="9" s="1"/>
  <c r="AI25" i="9"/>
  <c r="AJ26" i="9" s="1"/>
  <c r="AJ47" i="9" s="1"/>
  <c r="U25" i="9"/>
  <c r="V26" i="9" s="1"/>
  <c r="V47" i="9" s="1"/>
  <c r="BD25" i="9"/>
  <c r="BE26" i="9" s="1"/>
  <c r="BE47" i="9" s="1"/>
  <c r="N30" i="9"/>
  <c r="N25" i="9"/>
  <c r="O26" i="9" s="1"/>
  <c r="O47" i="9" s="1"/>
  <c r="AW25" i="9"/>
  <c r="AX26" i="9" s="1"/>
  <c r="AX47" i="9" s="1"/>
  <c r="W30" i="9"/>
  <c r="AR25" i="9"/>
  <c r="AS26" i="9" s="1"/>
  <c r="AS47" i="9" s="1"/>
  <c r="W25" i="9"/>
  <c r="X26" i="9" s="1"/>
  <c r="X47" i="9" s="1"/>
  <c r="AY25" i="9"/>
  <c r="AZ26" i="9" s="1"/>
  <c r="AZ47" i="9" s="1"/>
  <c r="AD25" i="9"/>
  <c r="AE26" i="9" s="1"/>
  <c r="AE47" i="9" s="1"/>
  <c r="AK25" i="9"/>
  <c r="AL26" i="9" s="1"/>
  <c r="AL47" i="9" s="1"/>
  <c r="J49" i="9"/>
  <c r="J48" i="9"/>
  <c r="K30" i="9"/>
  <c r="G37" i="6"/>
  <c r="H37" i="6" s="1"/>
  <c r="G37" i="7" s="1"/>
  <c r="BA26" i="10"/>
  <c r="AR26" i="10"/>
  <c r="K26" i="10"/>
  <c r="AF26" i="10"/>
  <c r="Q26" i="10"/>
  <c r="V26" i="10"/>
  <c r="AI30" i="9"/>
  <c r="BA29" i="8"/>
  <c r="BA28" i="8"/>
  <c r="AO25" i="9"/>
  <c r="AP26" i="9" s="1"/>
  <c r="AP47" i="9" s="1"/>
  <c r="AH25" i="9"/>
  <c r="AI26" i="9" s="1"/>
  <c r="AI47" i="9" s="1"/>
  <c r="AV25" i="9"/>
  <c r="AW26" i="9" s="1"/>
  <c r="AW47" i="9" s="1"/>
  <c r="AA25" i="9"/>
  <c r="AB26" i="9" s="1"/>
  <c r="AB47" i="9" s="1"/>
  <c r="BC25" i="9"/>
  <c r="BD26" i="9" s="1"/>
  <c r="BD47" i="9" s="1"/>
  <c r="M25" i="9"/>
  <c r="N26" i="9" s="1"/>
  <c r="N47" i="9" s="1"/>
  <c r="M30" i="9"/>
  <c r="T25" i="9"/>
  <c r="U26" i="9" s="1"/>
  <c r="U47" i="9" s="1"/>
  <c r="AH30" i="9"/>
  <c r="AF29" i="8"/>
  <c r="AF28" i="8"/>
  <c r="BE29" i="8"/>
  <c r="BE28" i="8"/>
  <c r="Z29" i="8"/>
  <c r="Z28" i="8"/>
  <c r="AC26" i="10"/>
  <c r="T26" i="10"/>
  <c r="AW26" i="10"/>
  <c r="AU26" i="10"/>
  <c r="C2" i="10"/>
  <c r="C26" i="10" s="1"/>
  <c r="B24" i="9"/>
  <c r="AR30" i="9"/>
  <c r="AP29" i="9"/>
  <c r="AL29" i="9"/>
  <c r="AL33" i="9" s="1"/>
  <c r="AR37" i="9" s="1"/>
  <c r="AS42" i="9" s="1"/>
  <c r="AS57" i="9" s="1"/>
  <c r="AN29" i="9"/>
  <c r="AP30" i="9"/>
  <c r="AO30" i="9"/>
  <c r="AO29" i="9"/>
  <c r="AQ29" i="9"/>
  <c r="AM29" i="9"/>
  <c r="AM33" i="9" s="1"/>
  <c r="AS37" i="9" s="1"/>
  <c r="AT42" i="9" s="1"/>
  <c r="AT57" i="9" s="1"/>
  <c r="AK29" i="9"/>
  <c r="AN30" i="9"/>
  <c r="AQ30" i="9"/>
  <c r="AH29" i="8"/>
  <c r="AH28" i="8"/>
  <c r="M9" i="5"/>
  <c r="X29" i="9"/>
  <c r="Y29" i="9"/>
  <c r="Y33" i="9" s="1"/>
  <c r="AE37" i="9" s="1"/>
  <c r="AF42" i="9" s="1"/>
  <c r="AF57" i="9" s="1"/>
  <c r="W29" i="9"/>
  <c r="W33" i="9" s="1"/>
  <c r="AC37" i="9" s="1"/>
  <c r="AD42" i="9" s="1"/>
  <c r="AD57" i="9" s="1"/>
  <c r="AB29" i="9"/>
  <c r="AC29" i="9"/>
  <c r="AC30" i="9"/>
  <c r="AA29" i="9"/>
  <c r="Z29" i="9"/>
  <c r="AV29" i="8"/>
  <c r="AV28" i="8"/>
  <c r="AK28" i="8"/>
  <c r="AK29" i="8"/>
  <c r="W28" i="8"/>
  <c r="W29" i="8"/>
  <c r="L32" i="8"/>
  <c r="T32" i="8"/>
  <c r="AB32" i="8"/>
  <c r="AJ32" i="8"/>
  <c r="AR32" i="8"/>
  <c r="M32" i="8"/>
  <c r="U32" i="8"/>
  <c r="AC32" i="8"/>
  <c r="AK32" i="8"/>
  <c r="AS32" i="8"/>
  <c r="J32" i="8"/>
  <c r="R32" i="8"/>
  <c r="Z32" i="8"/>
  <c r="AH32" i="8"/>
  <c r="AP32" i="8"/>
  <c r="AX32" i="8"/>
  <c r="C3" i="11" s="1"/>
  <c r="L14" i="11" s="1"/>
  <c r="W32" i="8"/>
  <c r="AI32" i="8"/>
  <c r="AV32" i="8"/>
  <c r="I29" i="8"/>
  <c r="K32" i="8"/>
  <c r="X32" i="8"/>
  <c r="AL32" i="8"/>
  <c r="AW32" i="8"/>
  <c r="I28" i="8"/>
  <c r="N32" i="8"/>
  <c r="Y32" i="8"/>
  <c r="AM32" i="8"/>
  <c r="I32" i="8"/>
  <c r="O32" i="8"/>
  <c r="AA32" i="8"/>
  <c r="AN32" i="8"/>
  <c r="V32" i="8"/>
  <c r="AG32" i="8"/>
  <c r="AU32" i="8"/>
  <c r="Q32" i="8"/>
  <c r="S32" i="8"/>
  <c r="AD32" i="8"/>
  <c r="AE32" i="8"/>
  <c r="AF32" i="8"/>
  <c r="AO32" i="8"/>
  <c r="AQ32" i="8"/>
  <c r="P32" i="8"/>
  <c r="AT32" i="8"/>
  <c r="Q49" i="9"/>
  <c r="Q48" i="9"/>
  <c r="AM28" i="8"/>
  <c r="AM29" i="8"/>
  <c r="AY33" i="8"/>
  <c r="BA32" i="8"/>
  <c r="AT29" i="8"/>
  <c r="AT28" i="8"/>
  <c r="BD29" i="8"/>
  <c r="BD28" i="8"/>
  <c r="AU29" i="8"/>
  <c r="AU28" i="8"/>
  <c r="R48" i="9"/>
  <c r="R49" i="9"/>
  <c r="AA30" i="9"/>
  <c r="AF30" i="9"/>
  <c r="AS26" i="10"/>
  <c r="AJ26" i="10"/>
  <c r="AX26" i="10"/>
  <c r="X26" i="10"/>
  <c r="AI26" i="10"/>
  <c r="N26" i="10"/>
  <c r="Q29" i="9"/>
  <c r="R29" i="9"/>
  <c r="S29" i="9"/>
  <c r="P33" i="9"/>
  <c r="V37" i="9" s="1"/>
  <c r="W42" i="9" s="1"/>
  <c r="W57" i="9" s="1"/>
  <c r="V30" i="9"/>
  <c r="T29" i="9"/>
  <c r="U29" i="9"/>
  <c r="V29" i="9"/>
  <c r="V33" i="9" s="1"/>
  <c r="AB37" i="9" s="1"/>
  <c r="AC42" i="9" s="1"/>
  <c r="AC57" i="9" s="1"/>
  <c r="P29" i="9"/>
  <c r="AE30" i="9"/>
  <c r="AS29" i="9"/>
  <c r="AT29" i="9"/>
  <c r="AU29" i="9"/>
  <c r="AX29" i="9"/>
  <c r="AG29" i="8"/>
  <c r="AG28" i="8"/>
  <c r="I30" i="9"/>
  <c r="U30" i="9"/>
  <c r="AK26" i="10"/>
  <c r="AB26" i="10"/>
  <c r="BE26" i="10"/>
  <c r="P26" i="10"/>
  <c r="BC26" i="10"/>
  <c r="AH26" i="10"/>
  <c r="X33" i="9"/>
  <c r="AD37" i="9" s="1"/>
  <c r="AE42" i="9" s="1"/>
  <c r="AE57" i="9" s="1"/>
  <c r="AD30" i="9"/>
  <c r="AM30" i="9"/>
  <c r="AX30" i="9"/>
  <c r="AO29" i="8"/>
  <c r="AO28" i="8"/>
  <c r="BC28" i="8"/>
  <c r="BC29" i="8"/>
  <c r="AW30" i="9"/>
  <c r="BA25" i="9"/>
  <c r="BB26" i="9" s="1"/>
  <c r="BB47" i="9" s="1"/>
  <c r="BE32" i="8"/>
  <c r="F3" i="11" s="1"/>
  <c r="L19" i="11" s="1"/>
  <c r="AG26" i="10"/>
  <c r="AL30" i="9"/>
  <c r="AO33" i="9"/>
  <c r="AU37" i="9" s="1"/>
  <c r="AV42" i="9" s="1"/>
  <c r="AV57" i="9" s="1"/>
  <c r="AU30" i="9"/>
  <c r="AW29" i="9"/>
  <c r="AW33" i="9" s="1"/>
  <c r="BC37" i="9" s="1"/>
  <c r="BD42" i="9" s="1"/>
  <c r="BD57" i="9" s="1"/>
  <c r="R29" i="8"/>
  <c r="R28" i="8"/>
  <c r="AW29" i="8"/>
  <c r="AW28" i="8"/>
  <c r="AN29" i="8"/>
  <c r="AN28" i="8"/>
  <c r="Y30" i="9"/>
  <c r="T29" i="8"/>
  <c r="T28" i="8"/>
  <c r="AL25" i="9"/>
  <c r="AM26" i="9" s="1"/>
  <c r="AM47" i="9" s="1"/>
  <c r="AV30" i="9"/>
  <c r="AM26" i="10"/>
  <c r="R30" i="9"/>
  <c r="Q29" i="8"/>
  <c r="Q28" i="8"/>
  <c r="AA29" i="8"/>
  <c r="AA28" i="8"/>
  <c r="M28" i="8"/>
  <c r="M29" i="8"/>
  <c r="AS25" i="9"/>
  <c r="AT26" i="9" s="1"/>
  <c r="AT47" i="9" s="1"/>
  <c r="BC32" i="8"/>
  <c r="AN25" i="9"/>
  <c r="AO26" i="9" s="1"/>
  <c r="AO47" i="9" s="1"/>
  <c r="AG25" i="9"/>
  <c r="AH26" i="9" s="1"/>
  <c r="AH47" i="9" s="1"/>
  <c r="AU25" i="9"/>
  <c r="AV26" i="9" s="1"/>
  <c r="AV47" i="9" s="1"/>
  <c r="BB25" i="9"/>
  <c r="BC26" i="9" s="1"/>
  <c r="BC47" i="9" s="1"/>
  <c r="Z25" i="9"/>
  <c r="AA26" i="9" s="1"/>
  <c r="AA47" i="9" s="1"/>
  <c r="L30" i="9"/>
  <c r="L25" i="9"/>
  <c r="M26" i="9" s="1"/>
  <c r="M47" i="9" s="1"/>
  <c r="S25" i="9"/>
  <c r="T26" i="9" s="1"/>
  <c r="T47" i="9" s="1"/>
  <c r="G31" i="6"/>
  <c r="H31" i="6" s="1"/>
  <c r="G31" i="7" s="1"/>
  <c r="K49" i="9"/>
  <c r="K48" i="9"/>
  <c r="AS30" i="9"/>
  <c r="BF26" i="10"/>
  <c r="M26" i="10"/>
  <c r="BD26" i="10"/>
  <c r="S26" i="10"/>
  <c r="AE26" i="10"/>
  <c r="AT26" i="10"/>
  <c r="Z49" i="9"/>
  <c r="Z48" i="9"/>
  <c r="T30" i="9"/>
  <c r="U29" i="8"/>
  <c r="U28" i="8"/>
  <c r="AJ28" i="8"/>
  <c r="AJ29" i="8"/>
  <c r="V28" i="8"/>
  <c r="V29" i="8"/>
  <c r="J29" i="8"/>
  <c r="J28" i="8"/>
  <c r="AP29" i="8"/>
  <c r="AP28" i="8"/>
  <c r="X29" i="8"/>
  <c r="X28" i="8"/>
  <c r="Q30" i="9"/>
  <c r="AQ29" i="8"/>
  <c r="AQ28" i="8"/>
  <c r="AE25" i="9"/>
  <c r="AF26" i="9" s="1"/>
  <c r="AF47" i="9" s="1"/>
  <c r="S48" i="9"/>
  <c r="S49" i="9"/>
  <c r="AA26" i="10"/>
  <c r="U26" i="10"/>
  <c r="L26" i="10"/>
  <c r="AO26" i="10"/>
  <c r="AY26" i="10"/>
  <c r="BB26" i="10"/>
  <c r="L49" i="9"/>
  <c r="L48" i="9"/>
  <c r="AN33" i="9"/>
  <c r="AT37" i="9" s="1"/>
  <c r="AU42" i="9" s="1"/>
  <c r="AU57" i="9" s="1"/>
  <c r="AT30" i="9"/>
  <c r="G32" i="6"/>
  <c r="H32" i="6" s="1"/>
  <c r="G32" i="7" s="1"/>
  <c r="Y49" i="9"/>
  <c r="Y48" i="9"/>
  <c r="AU33" i="9"/>
  <c r="BA37" i="9" s="1"/>
  <c r="BB42" i="9" s="1"/>
  <c r="BB57" i="9" s="1"/>
  <c r="AP26" i="10"/>
  <c r="R26" i="10"/>
  <c r="AV26" i="10"/>
  <c r="Z26" i="10"/>
  <c r="W26" i="10"/>
  <c r="AL26" i="10"/>
  <c r="AB30" i="9"/>
  <c r="AI29" i="8"/>
  <c r="AI28" i="8"/>
  <c r="N28" i="8"/>
  <c r="N29" i="8"/>
  <c r="AS29" i="8"/>
  <c r="AS28" i="8"/>
  <c r="S29" i="8"/>
  <c r="S28" i="8"/>
  <c r="AX29" i="8"/>
  <c r="AX28" i="8"/>
  <c r="P29" i="8"/>
  <c r="P28" i="8"/>
  <c r="AZ29" i="8"/>
  <c r="AZ34" i="8" s="1"/>
  <c r="AZ35" i="8" s="1"/>
  <c r="AZ28" i="8"/>
  <c r="BB33" i="8" s="1"/>
  <c r="J30" i="9"/>
  <c r="O29" i="8"/>
  <c r="O28" i="8"/>
  <c r="AZ25" i="9"/>
  <c r="BA26" i="9" s="1"/>
  <c r="BA47" i="9" s="1"/>
  <c r="P30" i="9"/>
  <c r="G9" i="6"/>
  <c r="H9" i="6" s="1"/>
  <c r="G9" i="7" s="1"/>
  <c r="G17" i="6"/>
  <c r="H17" i="6" s="1"/>
  <c r="G17" i="7" s="1"/>
  <c r="J26" i="10"/>
  <c r="I35" i="10" s="1"/>
  <c r="AZ26" i="10"/>
  <c r="AQ26" i="10"/>
  <c r="AN26" i="10"/>
  <c r="Y26" i="10"/>
  <c r="O26" i="10"/>
  <c r="AD26" i="10"/>
  <c r="I33" i="9"/>
  <c r="O37" i="9" s="1"/>
  <c r="P42" i="9" s="1"/>
  <c r="P57" i="9" s="1"/>
  <c r="K29" i="9"/>
  <c r="L29" i="9"/>
  <c r="M29" i="9"/>
  <c r="J29" i="9"/>
  <c r="I29" i="9"/>
  <c r="O29" i="9"/>
  <c r="O30" i="9"/>
  <c r="N29" i="9"/>
  <c r="N33" i="9" s="1"/>
  <c r="T37" i="9" s="1"/>
  <c r="U42" i="9" s="1"/>
  <c r="U57" i="9" s="1"/>
  <c r="AD29" i="9"/>
  <c r="AD33" i="9" s="1"/>
  <c r="AJ37" i="9" s="1"/>
  <c r="AK42" i="9" s="1"/>
  <c r="AK57" i="9" s="1"/>
  <c r="AE29" i="9"/>
  <c r="AE33" i="9" s="1"/>
  <c r="AK37" i="9" s="1"/>
  <c r="AL42" i="9" s="1"/>
  <c r="AL57" i="9" s="1"/>
  <c r="AJ29" i="9"/>
  <c r="AF29" i="9"/>
  <c r="AG29" i="9"/>
  <c r="AG33" i="9" s="1"/>
  <c r="AM37" i="9" s="1"/>
  <c r="AN42" i="9" s="1"/>
  <c r="AN57" i="9" s="1"/>
  <c r="AH29" i="9"/>
  <c r="AJ30" i="9"/>
  <c r="AI29" i="9"/>
  <c r="AV29" i="9"/>
  <c r="AV33" i="9" s="1"/>
  <c r="BB37" i="9" s="1"/>
  <c r="BC42" i="9" s="1"/>
  <c r="BC57" i="9" s="1"/>
  <c r="AR29" i="8"/>
  <c r="AR28" i="8"/>
  <c r="S30" i="9"/>
  <c r="BB28" i="8"/>
  <c r="BB29" i="8"/>
  <c r="X30" i="9"/>
  <c r="AB28" i="8"/>
  <c r="AB29" i="8"/>
  <c r="AE29" i="8"/>
  <c r="AE28" i="8"/>
  <c r="BB32" i="8"/>
  <c r="AG49" i="9"/>
  <c r="AG48" i="9"/>
  <c r="BA34" i="8"/>
  <c r="BA35" i="8" s="1"/>
  <c r="AY34" i="8"/>
  <c r="AY35" i="8" s="1"/>
  <c r="F53" i="6" l="1"/>
  <c r="G53" i="6" s="1"/>
  <c r="H53" i="6" s="1"/>
  <c r="G53" i="7" s="1"/>
  <c r="F18" i="6"/>
  <c r="G18" i="6" s="1"/>
  <c r="H18" i="6" s="1"/>
  <c r="G18" i="7" s="1"/>
  <c r="F39" i="6"/>
  <c r="G39" i="6" s="1"/>
  <c r="H39" i="6" s="1"/>
  <c r="G39" i="7" s="1"/>
  <c r="F25" i="6"/>
  <c r="G25" i="6" s="1"/>
  <c r="H25" i="6" s="1"/>
  <c r="G25" i="7" s="1"/>
  <c r="BC34" i="8"/>
  <c r="BC35" i="8" s="1"/>
  <c r="H18" i="7"/>
  <c r="F25" i="7"/>
  <c r="F53" i="7"/>
  <c r="BE34" i="8"/>
  <c r="BE35" i="8" s="1"/>
  <c r="H3" i="11" s="1"/>
  <c r="N19" i="11" s="1"/>
  <c r="F52" i="7"/>
  <c r="F51" i="7"/>
  <c r="F46" i="6"/>
  <c r="G46" i="6" s="1"/>
  <c r="H46" i="6" s="1"/>
  <c r="G46" i="7" s="1"/>
  <c r="F11" i="6"/>
  <c r="G11" i="6" s="1"/>
  <c r="H11" i="6" s="1"/>
  <c r="G11" i="7" s="1"/>
  <c r="BB34" i="8"/>
  <c r="BB35" i="8" s="1"/>
  <c r="BD34" i="8"/>
  <c r="BD35" i="8" s="1"/>
  <c r="H45" i="7"/>
  <c r="F11" i="7"/>
  <c r="P6" i="5"/>
  <c r="F32" i="7"/>
  <c r="F39" i="7"/>
  <c r="U59" i="9"/>
  <c r="U58" i="9"/>
  <c r="AL58" i="9"/>
  <c r="AL59" i="9"/>
  <c r="AN59" i="9"/>
  <c r="AN58" i="9"/>
  <c r="AV49" i="9"/>
  <c r="AV48" i="9"/>
  <c r="W59" i="9"/>
  <c r="W58" i="9"/>
  <c r="BD33" i="8"/>
  <c r="AB33" i="9"/>
  <c r="AH37" i="9" s="1"/>
  <c r="AI42" i="9" s="1"/>
  <c r="AI57" i="9" s="1"/>
  <c r="N49" i="9"/>
  <c r="N48" i="9"/>
  <c r="AZ49" i="9"/>
  <c r="AZ48" i="9"/>
  <c r="F34" i="6"/>
  <c r="G34" i="6" s="1"/>
  <c r="H34" i="6" s="1"/>
  <c r="G34" i="7" s="1"/>
  <c r="F27" i="6"/>
  <c r="G27" i="6" s="1"/>
  <c r="H27" i="6" s="1"/>
  <c r="G27" i="7" s="1"/>
  <c r="F41" i="7"/>
  <c r="F13" i="7"/>
  <c r="F20" i="6"/>
  <c r="G20" i="6" s="1"/>
  <c r="H20" i="6" s="1"/>
  <c r="G20" i="7" s="1"/>
  <c r="F34" i="7"/>
  <c r="F6" i="7"/>
  <c r="F48" i="7"/>
  <c r="F48" i="6"/>
  <c r="G48" i="6" s="1"/>
  <c r="H48" i="6" s="1"/>
  <c r="G48" i="7" s="1"/>
  <c r="F20" i="7"/>
  <c r="F13" i="6"/>
  <c r="G13" i="6" s="1"/>
  <c r="H13" i="6" s="1"/>
  <c r="G13" i="7" s="1"/>
  <c r="F41" i="6"/>
  <c r="G41" i="6" s="1"/>
  <c r="H41" i="6" s="1"/>
  <c r="G41" i="7" s="1"/>
  <c r="F6" i="6"/>
  <c r="G6" i="6" s="1"/>
  <c r="H6" i="6" s="1"/>
  <c r="G6" i="7" s="1"/>
  <c r="F27" i="7"/>
  <c r="P8" i="5"/>
  <c r="H52" i="7"/>
  <c r="H51" i="7"/>
  <c r="J33" i="9"/>
  <c r="P37" i="9" s="1"/>
  <c r="Q42" i="9" s="1"/>
  <c r="Q57" i="9" s="1"/>
  <c r="AC59" i="9"/>
  <c r="AC58" i="9"/>
  <c r="T49" i="9"/>
  <c r="T48" i="9"/>
  <c r="AH49" i="9"/>
  <c r="AH48" i="9"/>
  <c r="S33" i="9"/>
  <c r="Y37" i="9" s="1"/>
  <c r="Z42" i="9" s="1"/>
  <c r="Z57" i="9" s="1"/>
  <c r="BC33" i="8"/>
  <c r="K34" i="8"/>
  <c r="K35" i="8" s="1"/>
  <c r="S34" i="8"/>
  <c r="S35" i="8" s="1"/>
  <c r="AA34" i="8"/>
  <c r="AA35" i="8" s="1"/>
  <c r="AI34" i="8"/>
  <c r="AI35" i="8" s="1"/>
  <c r="AQ34" i="8"/>
  <c r="AQ35" i="8" s="1"/>
  <c r="I34" i="8"/>
  <c r="I35" i="8" s="1"/>
  <c r="L34" i="8"/>
  <c r="L35" i="8" s="1"/>
  <c r="T34" i="8"/>
  <c r="T35" i="8" s="1"/>
  <c r="AB34" i="8"/>
  <c r="AB35" i="8" s="1"/>
  <c r="AJ34" i="8"/>
  <c r="AJ35" i="8" s="1"/>
  <c r="AR34" i="8"/>
  <c r="AR35" i="8" s="1"/>
  <c r="M34" i="8"/>
  <c r="M35" i="8" s="1"/>
  <c r="U34" i="8"/>
  <c r="U35" i="8" s="1"/>
  <c r="AC34" i="8"/>
  <c r="AC35" i="8" s="1"/>
  <c r="AK34" i="8"/>
  <c r="AK35" i="8" s="1"/>
  <c r="AS34" i="8"/>
  <c r="AS35" i="8" s="1"/>
  <c r="J34" i="8"/>
  <c r="J35" i="8" s="1"/>
  <c r="R34" i="8"/>
  <c r="R35" i="8" s="1"/>
  <c r="Z34" i="8"/>
  <c r="Z35" i="8" s="1"/>
  <c r="AH34" i="8"/>
  <c r="AH35" i="8" s="1"/>
  <c r="AP34" i="8"/>
  <c r="AP35" i="8" s="1"/>
  <c r="AX34" i="8"/>
  <c r="AX35" i="8" s="1"/>
  <c r="E3" i="11" s="1"/>
  <c r="N14" i="11" s="1"/>
  <c r="W34" i="8"/>
  <c r="W35" i="8" s="1"/>
  <c r="AM34" i="8"/>
  <c r="AM35" i="8" s="1"/>
  <c r="X34" i="8"/>
  <c r="X35" i="8" s="1"/>
  <c r="AN34" i="8"/>
  <c r="AN35" i="8" s="1"/>
  <c r="Y34" i="8"/>
  <c r="Y35" i="8" s="1"/>
  <c r="AO34" i="8"/>
  <c r="AO35" i="8" s="1"/>
  <c r="N34" i="8"/>
  <c r="N35" i="8" s="1"/>
  <c r="AD34" i="8"/>
  <c r="AD35" i="8" s="1"/>
  <c r="AT34" i="8"/>
  <c r="AT35" i="8" s="1"/>
  <c r="V34" i="8"/>
  <c r="V35" i="8" s="1"/>
  <c r="AL34" i="8"/>
  <c r="AL35" i="8" s="1"/>
  <c r="AU34" i="8"/>
  <c r="AU35" i="8" s="1"/>
  <c r="AV34" i="8"/>
  <c r="AV35" i="8" s="1"/>
  <c r="O34" i="8"/>
  <c r="O35" i="8" s="1"/>
  <c r="AW34" i="8"/>
  <c r="AW35" i="8" s="1"/>
  <c r="P34" i="8"/>
  <c r="P35" i="8" s="1"/>
  <c r="Q34" i="8"/>
  <c r="Q35" i="8" s="1"/>
  <c r="AE34" i="8"/>
  <c r="AE35" i="8" s="1"/>
  <c r="AF34" i="8"/>
  <c r="AF35" i="8" s="1"/>
  <c r="AG34" i="8"/>
  <c r="AG35" i="8" s="1"/>
  <c r="BD49" i="9"/>
  <c r="BD48" i="9"/>
  <c r="X49" i="9"/>
  <c r="X48" i="9"/>
  <c r="BE48" i="9"/>
  <c r="BE49" i="9"/>
  <c r="F26" i="6"/>
  <c r="G26" i="6" s="1"/>
  <c r="H26" i="6" s="1"/>
  <c r="G26" i="7" s="1"/>
  <c r="F5" i="6"/>
  <c r="G5" i="6" s="1"/>
  <c r="H5" i="6" s="1"/>
  <c r="G5" i="7" s="1"/>
  <c r="F33" i="7"/>
  <c r="F5" i="7"/>
  <c r="F19" i="6"/>
  <c r="G19" i="6" s="1"/>
  <c r="H19" i="6" s="1"/>
  <c r="G19" i="7" s="1"/>
  <c r="F12" i="6"/>
  <c r="G12" i="6" s="1"/>
  <c r="H12" i="6" s="1"/>
  <c r="G12" i="7" s="1"/>
  <c r="F54" i="7"/>
  <c r="H54" i="7" s="1"/>
  <c r="F26" i="7"/>
  <c r="F47" i="7"/>
  <c r="F40" i="7"/>
  <c r="F40" i="6"/>
  <c r="G40" i="6" s="1"/>
  <c r="H40" i="6" s="1"/>
  <c r="G40" i="7" s="1"/>
  <c r="F54" i="6"/>
  <c r="G54" i="6" s="1"/>
  <c r="H54" i="6" s="1"/>
  <c r="G54" i="7" s="1"/>
  <c r="F19" i="7"/>
  <c r="H19" i="7" s="1"/>
  <c r="F12" i="7"/>
  <c r="F33" i="6"/>
  <c r="G33" i="6" s="1"/>
  <c r="H33" i="6" s="1"/>
  <c r="G33" i="7" s="1"/>
  <c r="F47" i="6"/>
  <c r="G47" i="6" s="1"/>
  <c r="H47" i="6" s="1"/>
  <c r="G47" i="7" s="1"/>
  <c r="P7" i="5"/>
  <c r="H24" i="7"/>
  <c r="H32" i="7"/>
  <c r="BC59" i="9"/>
  <c r="BC58" i="9"/>
  <c r="AO48" i="9"/>
  <c r="AO49" i="9"/>
  <c r="AX33" i="9"/>
  <c r="BD37" i="9" s="1"/>
  <c r="BE42" i="9" s="1"/>
  <c r="BE57" i="9" s="1"/>
  <c r="AF59" i="9"/>
  <c r="AF58" i="9"/>
  <c r="R33" i="9"/>
  <c r="X37" i="9" s="1"/>
  <c r="Y42" i="9" s="1"/>
  <c r="Y57" i="9" s="1"/>
  <c r="BA33" i="8"/>
  <c r="AK33" i="9"/>
  <c r="AQ37" i="9" s="1"/>
  <c r="AR42" i="9" s="1"/>
  <c r="AR57" i="9" s="1"/>
  <c r="AP33" i="9"/>
  <c r="AV37" i="9" s="1"/>
  <c r="AW42" i="9" s="1"/>
  <c r="AW57" i="9" s="1"/>
  <c r="AB49" i="9"/>
  <c r="AB48" i="9"/>
  <c r="AS49" i="9"/>
  <c r="AS48" i="9"/>
  <c r="V49" i="9"/>
  <c r="V48" i="9"/>
  <c r="AY61" i="9"/>
  <c r="AY58" i="9"/>
  <c r="AY59" i="9"/>
  <c r="F50" i="6"/>
  <c r="G50" i="6" s="1"/>
  <c r="H50" i="6" s="1"/>
  <c r="G50" i="7" s="1"/>
  <c r="F43" i="6"/>
  <c r="G43" i="6" s="1"/>
  <c r="H43" i="6" s="1"/>
  <c r="G43" i="7" s="1"/>
  <c r="F29" i="7"/>
  <c r="F36" i="6"/>
  <c r="G36" i="6" s="1"/>
  <c r="H36" i="6" s="1"/>
  <c r="G36" i="7" s="1"/>
  <c r="F50" i="7"/>
  <c r="F22" i="7"/>
  <c r="F43" i="7"/>
  <c r="F8" i="7"/>
  <c r="F15" i="6"/>
  <c r="G15" i="6" s="1"/>
  <c r="H15" i="6" s="1"/>
  <c r="G15" i="7" s="1"/>
  <c r="F36" i="7"/>
  <c r="F15" i="7"/>
  <c r="F29" i="6"/>
  <c r="G29" i="6" s="1"/>
  <c r="H29" i="6" s="1"/>
  <c r="G29" i="7" s="1"/>
  <c r="F8" i="6"/>
  <c r="G8" i="6" s="1"/>
  <c r="H8" i="6" s="1"/>
  <c r="G8" i="7" s="1"/>
  <c r="F22" i="6"/>
  <c r="G22" i="6" s="1"/>
  <c r="H22" i="6" s="1"/>
  <c r="G22" i="7" s="1"/>
  <c r="P10" i="5"/>
  <c r="H39" i="7"/>
  <c r="AJ33" i="9"/>
  <c r="AP37" i="9" s="1"/>
  <c r="AQ42" i="9" s="1"/>
  <c r="AQ57" i="9" s="1"/>
  <c r="M33" i="9"/>
  <c r="S37" i="9" s="1"/>
  <c r="T42" i="9" s="1"/>
  <c r="T57" i="9" s="1"/>
  <c r="M49" i="9"/>
  <c r="M48" i="9"/>
  <c r="BB49" i="9"/>
  <c r="BB48" i="9"/>
  <c r="AZ33" i="8"/>
  <c r="Z33" i="9"/>
  <c r="AF37" i="9" s="1"/>
  <c r="AG42" i="9" s="1"/>
  <c r="AG57" i="9" s="1"/>
  <c r="AW49" i="9"/>
  <c r="AW48" i="9"/>
  <c r="H31" i="7"/>
  <c r="H16" i="7"/>
  <c r="H46" i="7"/>
  <c r="AI33" i="9"/>
  <c r="AO37" i="9" s="1"/>
  <c r="AP42" i="9" s="1"/>
  <c r="AP57" i="9" s="1"/>
  <c r="L33" i="9"/>
  <c r="R37" i="9" s="1"/>
  <c r="S42" i="9" s="1"/>
  <c r="S57" i="9" s="1"/>
  <c r="AT49" i="9"/>
  <c r="AT48" i="9"/>
  <c r="AV59" i="9"/>
  <c r="AV58" i="9"/>
  <c r="BE33" i="8"/>
  <c r="G3" i="11" s="1"/>
  <c r="M19" i="11" s="1"/>
  <c r="L33" i="8"/>
  <c r="T33" i="8"/>
  <c r="AB33" i="8"/>
  <c r="AJ33" i="8"/>
  <c r="AR33" i="8"/>
  <c r="M33" i="8"/>
  <c r="U33" i="8"/>
  <c r="AC33" i="8"/>
  <c r="AK33" i="8"/>
  <c r="AS33" i="8"/>
  <c r="J33" i="8"/>
  <c r="R33" i="8"/>
  <c r="Z33" i="8"/>
  <c r="AH33" i="8"/>
  <c r="AP33" i="8"/>
  <c r="AX33" i="8"/>
  <c r="D3" i="11" s="1"/>
  <c r="M14" i="11" s="1"/>
  <c r="S33" i="8"/>
  <c r="AF33" i="8"/>
  <c r="AT33" i="8"/>
  <c r="V33" i="8"/>
  <c r="AG33" i="8"/>
  <c r="AU33" i="8"/>
  <c r="W33" i="8"/>
  <c r="AI33" i="8"/>
  <c r="AV33" i="8"/>
  <c r="K33" i="8"/>
  <c r="X33" i="8"/>
  <c r="AL33" i="8"/>
  <c r="AW33" i="8"/>
  <c r="Q33" i="8"/>
  <c r="AE33" i="8"/>
  <c r="AQ33" i="8"/>
  <c r="AD33" i="8"/>
  <c r="AM33" i="8"/>
  <c r="AN33" i="8"/>
  <c r="O33" i="8"/>
  <c r="N33" i="8"/>
  <c r="AO33" i="8"/>
  <c r="I33" i="8"/>
  <c r="P33" i="8"/>
  <c r="Y33" i="8"/>
  <c r="AA33" i="8"/>
  <c r="AD59" i="9"/>
  <c r="AD58" i="9"/>
  <c r="AQ33" i="9"/>
  <c r="AW37" i="9" s="1"/>
  <c r="AX42" i="9" s="1"/>
  <c r="AX57" i="9" s="1"/>
  <c r="AS59" i="9"/>
  <c r="AS58" i="9"/>
  <c r="AI49" i="9"/>
  <c r="AI48" i="9"/>
  <c r="AJ48" i="9"/>
  <c r="AJ49" i="9"/>
  <c r="H10" i="7"/>
  <c r="H23" i="7"/>
  <c r="H30" i="7"/>
  <c r="H25" i="7"/>
  <c r="BB59" i="9"/>
  <c r="BB58" i="9"/>
  <c r="K33" i="9"/>
  <c r="Q37" i="9" s="1"/>
  <c r="R42" i="9" s="1"/>
  <c r="R57" i="9" s="1"/>
  <c r="BD59" i="9"/>
  <c r="BD58" i="9"/>
  <c r="AU59" i="9"/>
  <c r="AU58" i="9"/>
  <c r="AA49" i="9"/>
  <c r="AA48" i="9"/>
  <c r="AS33" i="9"/>
  <c r="AY37" i="9" s="1"/>
  <c r="AZ42" i="9" s="1"/>
  <c r="AZ57" i="9" s="1"/>
  <c r="AZ61" i="9" s="1"/>
  <c r="U33" i="9"/>
  <c r="AA37" i="9" s="1"/>
  <c r="AB42" i="9" s="1"/>
  <c r="AB57" i="9" s="1"/>
  <c r="AA33" i="9"/>
  <c r="AG37" i="9" s="1"/>
  <c r="AH42" i="9" s="1"/>
  <c r="AH57" i="9" s="1"/>
  <c r="F42" i="6"/>
  <c r="G42" i="6" s="1"/>
  <c r="H42" i="6" s="1"/>
  <c r="G42" i="7" s="1"/>
  <c r="F35" i="6"/>
  <c r="G35" i="6" s="1"/>
  <c r="H35" i="6" s="1"/>
  <c r="G35" i="7" s="1"/>
  <c r="F49" i="7"/>
  <c r="F21" i="7"/>
  <c r="F28" i="6"/>
  <c r="G28" i="6" s="1"/>
  <c r="H28" i="6" s="1"/>
  <c r="G28" i="7" s="1"/>
  <c r="F42" i="7"/>
  <c r="F14" i="7"/>
  <c r="F49" i="6"/>
  <c r="G49" i="6" s="1"/>
  <c r="H49" i="6" s="1"/>
  <c r="G49" i="7" s="1"/>
  <c r="F28" i="7"/>
  <c r="F14" i="6"/>
  <c r="G14" i="6" s="1"/>
  <c r="H14" i="6" s="1"/>
  <c r="G14" i="7" s="1"/>
  <c r="F35" i="7"/>
  <c r="F7" i="6"/>
  <c r="G7" i="6" s="1"/>
  <c r="H7" i="6" s="1"/>
  <c r="G7" i="7" s="1"/>
  <c r="F7" i="7"/>
  <c r="F21" i="6"/>
  <c r="G21" i="6" s="1"/>
  <c r="H21" i="6" s="1"/>
  <c r="G21" i="7" s="1"/>
  <c r="P9" i="5"/>
  <c r="AP49" i="9"/>
  <c r="AP48" i="9"/>
  <c r="Q33" i="9"/>
  <c r="W37" i="9" s="1"/>
  <c r="X42" i="9" s="1"/>
  <c r="X57" i="9" s="1"/>
  <c r="AQ49" i="9"/>
  <c r="AQ48" i="9"/>
  <c r="H38" i="7"/>
  <c r="H44" i="7"/>
  <c r="H53" i="7"/>
  <c r="AK58" i="9"/>
  <c r="AK59" i="9"/>
  <c r="P59" i="9"/>
  <c r="P58" i="9"/>
  <c r="AT33" i="9"/>
  <c r="AZ37" i="9" s="1"/>
  <c r="BA42" i="9" s="1"/>
  <c r="BA57" i="9" s="1"/>
  <c r="BA61" i="9" s="1"/>
  <c r="T33" i="9"/>
  <c r="Z37" i="9" s="1"/>
  <c r="AA42" i="9" s="1"/>
  <c r="AA57" i="9" s="1"/>
  <c r="F29" i="9"/>
  <c r="O25" i="9"/>
  <c r="P26" i="9" s="1"/>
  <c r="P47" i="9" s="1"/>
  <c r="G29" i="9"/>
  <c r="V25" i="9"/>
  <c r="W26" i="9" s="1"/>
  <c r="W47" i="9" s="1"/>
  <c r="H29" i="9"/>
  <c r="E29" i="9"/>
  <c r="H30" i="9"/>
  <c r="H35" i="9" s="1"/>
  <c r="C29" i="9"/>
  <c r="D29" i="9"/>
  <c r="AJ25" i="9"/>
  <c r="AK26" i="9" s="1"/>
  <c r="AK47" i="9" s="1"/>
  <c r="B29" i="9"/>
  <c r="B33" i="9" s="1"/>
  <c r="AC25" i="9"/>
  <c r="AD26" i="9" s="1"/>
  <c r="AD47" i="9" s="1"/>
  <c r="AQ25" i="9"/>
  <c r="AR26" i="9" s="1"/>
  <c r="AR47" i="9" s="1"/>
  <c r="AX25" i="9"/>
  <c r="AY26" i="9" s="1"/>
  <c r="AY47" i="9" s="1"/>
  <c r="H25" i="9"/>
  <c r="I26" i="9" s="1"/>
  <c r="I47" i="9" s="1"/>
  <c r="U49" i="9"/>
  <c r="U48" i="9"/>
  <c r="AL49" i="9"/>
  <c r="AL48" i="9"/>
  <c r="AX48" i="9"/>
  <c r="AX49" i="9"/>
  <c r="H9" i="7"/>
  <c r="AH33" i="9"/>
  <c r="AN37" i="9" s="1"/>
  <c r="AO42" i="9" s="1"/>
  <c r="AO57" i="9" s="1"/>
  <c r="AT59" i="9"/>
  <c r="AT58" i="9"/>
  <c r="BA49" i="9"/>
  <c r="BA48" i="9"/>
  <c r="AF49" i="9"/>
  <c r="AF48" i="9"/>
  <c r="BC49" i="9"/>
  <c r="BC48" i="9"/>
  <c r="AM49" i="9"/>
  <c r="AM48" i="9"/>
  <c r="AF33" i="9"/>
  <c r="AL37" i="9" s="1"/>
  <c r="AM42" i="9" s="1"/>
  <c r="AM57" i="9" s="1"/>
  <c r="AE59" i="9"/>
  <c r="AE58" i="9"/>
  <c r="O33" i="9"/>
  <c r="U37" i="9" s="1"/>
  <c r="V42" i="9" s="1"/>
  <c r="V57" i="9" s="1"/>
  <c r="AC33" i="9"/>
  <c r="AI37" i="9" s="1"/>
  <c r="AJ42" i="9" s="1"/>
  <c r="AJ57" i="9" s="1"/>
  <c r="E33" i="10"/>
  <c r="E36" i="10" s="1"/>
  <c r="G28" i="10"/>
  <c r="G29" i="10" s="1"/>
  <c r="H33" i="10"/>
  <c r="H36" i="10" s="1"/>
  <c r="F33" i="10"/>
  <c r="F36" i="10" s="1"/>
  <c r="H28" i="10"/>
  <c r="H29" i="10" s="1"/>
  <c r="C28" i="10"/>
  <c r="C29" i="10"/>
  <c r="D28" i="10"/>
  <c r="D29" i="10" s="1"/>
  <c r="G33" i="10"/>
  <c r="G36" i="10" s="1"/>
  <c r="I28" i="10"/>
  <c r="I33" i="10"/>
  <c r="C33" i="10"/>
  <c r="C36" i="10"/>
  <c r="E28" i="10"/>
  <c r="E29" i="10" s="1"/>
  <c r="D33" i="10"/>
  <c r="D36" i="10" s="1"/>
  <c r="F28" i="10"/>
  <c r="F29" i="10" s="1"/>
  <c r="AE49" i="9"/>
  <c r="AE48" i="9"/>
  <c r="O49" i="9"/>
  <c r="O48" i="9"/>
  <c r="AC49" i="9"/>
  <c r="AC48" i="9"/>
  <c r="H17" i="7"/>
  <c r="H37" i="7"/>
  <c r="H15" i="7" l="1"/>
  <c r="H43" i="7"/>
  <c r="H12" i="7"/>
  <c r="H48" i="7"/>
  <c r="H50" i="7"/>
  <c r="H27" i="7"/>
  <c r="H11" i="7"/>
  <c r="H21" i="7"/>
  <c r="J28" i="10"/>
  <c r="K28" i="10" s="1"/>
  <c r="J33" i="10"/>
  <c r="J35" i="10" s="1"/>
  <c r="K33" i="10" s="1"/>
  <c r="H28" i="7"/>
  <c r="H5" i="7"/>
  <c r="H34" i="7"/>
  <c r="H35" i="7"/>
  <c r="H49" i="7"/>
  <c r="H8" i="7"/>
  <c r="H26" i="7"/>
  <c r="J30" i="10"/>
  <c r="K39" i="10" s="1"/>
  <c r="K45" i="10" s="1"/>
  <c r="J29" i="10"/>
  <c r="J36" i="10"/>
  <c r="AO59" i="9"/>
  <c r="AO58" i="9"/>
  <c r="AD49" i="9"/>
  <c r="AD48" i="9"/>
  <c r="B34" i="9"/>
  <c r="I34" i="9"/>
  <c r="O38" i="9" s="1"/>
  <c r="P43" i="9" s="1"/>
  <c r="P67" i="9" s="1"/>
  <c r="AR34" i="9"/>
  <c r="AX38" i="9" s="1"/>
  <c r="AY43" i="9" s="1"/>
  <c r="AY67" i="9" s="1"/>
  <c r="AD34" i="9"/>
  <c r="AJ38" i="9" s="1"/>
  <c r="AK43" i="9" s="1"/>
  <c r="AK67" i="9" s="1"/>
  <c r="H37" i="9"/>
  <c r="I42" i="9" s="1"/>
  <c r="I57" i="9" s="1"/>
  <c r="W34" i="9"/>
  <c r="AC38" i="9" s="1"/>
  <c r="AD43" i="9" s="1"/>
  <c r="AD67" i="9" s="1"/>
  <c r="AK34" i="9"/>
  <c r="AQ38" i="9" s="1"/>
  <c r="AR43" i="9" s="1"/>
  <c r="AR67" i="9" s="1"/>
  <c r="P34" i="9"/>
  <c r="V38" i="9" s="1"/>
  <c r="W43" i="9" s="1"/>
  <c r="W67" i="9" s="1"/>
  <c r="AB58" i="9"/>
  <c r="AB59" i="9"/>
  <c r="AP58" i="9"/>
  <c r="AP59" i="9"/>
  <c r="BE61" i="9"/>
  <c r="F5" i="11" s="1"/>
  <c r="AM59" i="9"/>
  <c r="AM58" i="9"/>
  <c r="AW59" i="9"/>
  <c r="AW58" i="9"/>
  <c r="AX58" i="9"/>
  <c r="AX59" i="9"/>
  <c r="T59" i="9"/>
  <c r="T58" i="9"/>
  <c r="AZ58" i="9"/>
  <c r="AZ59" i="9"/>
  <c r="BA63" i="9" s="1"/>
  <c r="BA64" i="9" s="1"/>
  <c r="H22" i="7"/>
  <c r="AY63" i="9"/>
  <c r="AY64" i="9" s="1"/>
  <c r="H6" i="7"/>
  <c r="AI59" i="9"/>
  <c r="AI58" i="9"/>
  <c r="C30" i="9"/>
  <c r="C35" i="9" s="1"/>
  <c r="D33" i="9"/>
  <c r="R58" i="9"/>
  <c r="R59" i="9"/>
  <c r="AG59" i="9"/>
  <c r="AG58" i="9"/>
  <c r="AQ58" i="9"/>
  <c r="AQ59" i="9"/>
  <c r="AY62" i="9"/>
  <c r="AZ62" i="9"/>
  <c r="AR58" i="9"/>
  <c r="AR59" i="9"/>
  <c r="BE58" i="9"/>
  <c r="BE59" i="9"/>
  <c r="AK49" i="9"/>
  <c r="AK48" i="9"/>
  <c r="P49" i="9"/>
  <c r="P48" i="9"/>
  <c r="AH59" i="9"/>
  <c r="AH58" i="9"/>
  <c r="F30" i="9"/>
  <c r="F35" i="9" s="1"/>
  <c r="G33" i="9"/>
  <c r="I37" i="10"/>
  <c r="J40" i="10" s="1"/>
  <c r="J56" i="10" s="1"/>
  <c r="I36" i="10"/>
  <c r="V59" i="9"/>
  <c r="V58" i="9"/>
  <c r="P51" i="9"/>
  <c r="X51" i="9"/>
  <c r="AF51" i="9"/>
  <c r="AN51" i="9"/>
  <c r="AV51" i="9"/>
  <c r="Q51" i="9"/>
  <c r="Y51" i="9"/>
  <c r="AG51" i="9"/>
  <c r="AO51" i="9"/>
  <c r="AW51" i="9"/>
  <c r="J51" i="9"/>
  <c r="R51" i="9"/>
  <c r="Z51" i="9"/>
  <c r="AH51" i="9"/>
  <c r="AP51" i="9"/>
  <c r="AX51" i="9"/>
  <c r="C4" i="11" s="1"/>
  <c r="O51" i="9"/>
  <c r="W51" i="9"/>
  <c r="AE51" i="9"/>
  <c r="AM51" i="9"/>
  <c r="AU51" i="9"/>
  <c r="U51" i="9"/>
  <c r="AK51" i="9"/>
  <c r="V51" i="9"/>
  <c r="AL51" i="9"/>
  <c r="K51" i="9"/>
  <c r="AA51" i="9"/>
  <c r="AQ51" i="9"/>
  <c r="T51" i="9"/>
  <c r="AJ51" i="9"/>
  <c r="AD51" i="9"/>
  <c r="AI51" i="9"/>
  <c r="I49" i="9"/>
  <c r="L51" i="9"/>
  <c r="AR51" i="9"/>
  <c r="M51" i="9"/>
  <c r="AS51" i="9"/>
  <c r="N51" i="9"/>
  <c r="AT51" i="9"/>
  <c r="S51" i="9"/>
  <c r="I51" i="9"/>
  <c r="AC51" i="9"/>
  <c r="I48" i="9"/>
  <c r="AB51" i="9"/>
  <c r="N39" i="9"/>
  <c r="O44" i="9" s="1"/>
  <c r="O77" i="9" s="1"/>
  <c r="O35" i="9"/>
  <c r="E30" i="9"/>
  <c r="E35" i="9" s="1"/>
  <c r="F33" i="9"/>
  <c r="H14" i="7"/>
  <c r="S58" i="9"/>
  <c r="S59" i="9"/>
  <c r="H29" i="7"/>
  <c r="BB61" i="9"/>
  <c r="H33" i="7"/>
  <c r="Z58" i="9"/>
  <c r="Z59" i="9"/>
  <c r="H13" i="7"/>
  <c r="AJ59" i="9"/>
  <c r="AJ58" i="9"/>
  <c r="H38" i="9"/>
  <c r="I43" i="9" s="1"/>
  <c r="I67" i="9" s="1"/>
  <c r="BA59" i="9"/>
  <c r="BA58" i="9"/>
  <c r="W49" i="9"/>
  <c r="W48" i="9"/>
  <c r="B30" i="9"/>
  <c r="B35" i="9" s="1"/>
  <c r="C33" i="9"/>
  <c r="BE51" i="9"/>
  <c r="F4" i="11" s="1"/>
  <c r="BD51" i="9"/>
  <c r="AY51" i="9"/>
  <c r="BC51" i="9"/>
  <c r="BA51" i="9"/>
  <c r="BB51" i="9"/>
  <c r="AZ51" i="9"/>
  <c r="AY48" i="9"/>
  <c r="AY49" i="9"/>
  <c r="D30" i="9"/>
  <c r="D35" i="9" s="1"/>
  <c r="E33" i="9"/>
  <c r="H42" i="7"/>
  <c r="H36" i="7"/>
  <c r="BD61" i="9"/>
  <c r="H40" i="7"/>
  <c r="Q59" i="9"/>
  <c r="Q58" i="9"/>
  <c r="H41" i="7"/>
  <c r="BC61" i="9"/>
  <c r="I30" i="10"/>
  <c r="J39" i="10" s="1"/>
  <c r="J45" i="10" s="1"/>
  <c r="I29" i="10"/>
  <c r="AR49" i="9"/>
  <c r="AR48" i="9"/>
  <c r="G30" i="9"/>
  <c r="G35" i="9" s="1"/>
  <c r="H33" i="9"/>
  <c r="AA58" i="9"/>
  <c r="AA59" i="9"/>
  <c r="X59" i="9"/>
  <c r="X58" i="9"/>
  <c r="H7" i="7"/>
  <c r="P11" i="5"/>
  <c r="P12" i="5" s="1"/>
  <c r="Q7" i="5" s="1"/>
  <c r="Y59" i="9"/>
  <c r="Y58" i="9"/>
  <c r="H47" i="7"/>
  <c r="H20" i="7"/>
  <c r="BD62" i="9" l="1"/>
  <c r="L28" i="10"/>
  <c r="K30" i="10"/>
  <c r="L39" i="10" s="1"/>
  <c r="L45" i="10" s="1"/>
  <c r="L49" i="10" s="1"/>
  <c r="K29" i="10"/>
  <c r="BD63" i="9"/>
  <c r="BD64" i="9" s="1"/>
  <c r="AZ63" i="9"/>
  <c r="AZ64" i="9" s="1"/>
  <c r="J37" i="10"/>
  <c r="K40" i="10" s="1"/>
  <c r="K56" i="10" s="1"/>
  <c r="K58" i="10" s="1"/>
  <c r="BC63" i="9"/>
  <c r="BC64" i="9" s="1"/>
  <c r="Q5" i="5"/>
  <c r="Q6" i="5"/>
  <c r="Q4" i="5"/>
  <c r="I39" i="9"/>
  <c r="J44" i="9" s="1"/>
  <c r="J77" i="9" s="1"/>
  <c r="J35" i="9"/>
  <c r="P39" i="9" s="1"/>
  <c r="Q44" i="9" s="1"/>
  <c r="Q77" i="9" s="1"/>
  <c r="BE53" i="9"/>
  <c r="BE54" i="9" s="1"/>
  <c r="H4" i="11" s="1"/>
  <c r="AZ53" i="9"/>
  <c r="AZ54" i="9" s="1"/>
  <c r="AY53" i="9"/>
  <c r="AY54" i="9" s="1"/>
  <c r="BA53" i="9"/>
  <c r="BA54" i="9" s="1"/>
  <c r="BB53" i="9"/>
  <c r="BB54" i="9" s="1"/>
  <c r="BD53" i="9"/>
  <c r="BD54" i="9" s="1"/>
  <c r="BC53" i="9"/>
  <c r="BC54" i="9" s="1"/>
  <c r="BB63" i="9"/>
  <c r="BB64" i="9" s="1"/>
  <c r="AK69" i="9"/>
  <c r="AK68" i="9"/>
  <c r="BE62" i="9"/>
  <c r="G5" i="11" s="1"/>
  <c r="K39" i="9"/>
  <c r="L44" i="9" s="1"/>
  <c r="L77" i="9" s="1"/>
  <c r="L35" i="9"/>
  <c r="R39" i="9" s="1"/>
  <c r="S44" i="9" s="1"/>
  <c r="S77" i="9" s="1"/>
  <c r="S35" i="9"/>
  <c r="Y39" i="9" s="1"/>
  <c r="Z44" i="9" s="1"/>
  <c r="Z77" i="9" s="1"/>
  <c r="AY71" i="9"/>
  <c r="AY68" i="9"/>
  <c r="AY69" i="9"/>
  <c r="M39" i="9"/>
  <c r="N44" i="9" s="1"/>
  <c r="N77" i="9" s="1"/>
  <c r="N35" i="9"/>
  <c r="T39" i="9" s="1"/>
  <c r="U44" i="9" s="1"/>
  <c r="U77" i="9" s="1"/>
  <c r="J53" i="9"/>
  <c r="J54" i="9" s="1"/>
  <c r="R53" i="9"/>
  <c r="R54" i="9" s="1"/>
  <c r="Z53" i="9"/>
  <c r="Z54" i="9" s="1"/>
  <c r="AH53" i="9"/>
  <c r="AH54" i="9" s="1"/>
  <c r="AP53" i="9"/>
  <c r="AP54" i="9" s="1"/>
  <c r="AX53" i="9"/>
  <c r="AX54" i="9" s="1"/>
  <c r="E4" i="11" s="1"/>
  <c r="K53" i="9"/>
  <c r="K54" i="9" s="1"/>
  <c r="T53" i="9"/>
  <c r="T54" i="9" s="1"/>
  <c r="AC53" i="9"/>
  <c r="AC54" i="9" s="1"/>
  <c r="AL53" i="9"/>
  <c r="AL54" i="9" s="1"/>
  <c r="AU53" i="9"/>
  <c r="AU54" i="9" s="1"/>
  <c r="L53" i="9"/>
  <c r="L54" i="9" s="1"/>
  <c r="U53" i="9"/>
  <c r="U54" i="9" s="1"/>
  <c r="AD53" i="9"/>
  <c r="AD54" i="9" s="1"/>
  <c r="AM53" i="9"/>
  <c r="AM54" i="9" s="1"/>
  <c r="AV53" i="9"/>
  <c r="AV54" i="9" s="1"/>
  <c r="M53" i="9"/>
  <c r="M54" i="9" s="1"/>
  <c r="V53" i="9"/>
  <c r="V54" i="9" s="1"/>
  <c r="AE53" i="9"/>
  <c r="AE54" i="9" s="1"/>
  <c r="AN53" i="9"/>
  <c r="AN54" i="9" s="1"/>
  <c r="AW53" i="9"/>
  <c r="AW54" i="9" s="1"/>
  <c r="S53" i="9"/>
  <c r="S54" i="9" s="1"/>
  <c r="AB53" i="9"/>
  <c r="AB54" i="9" s="1"/>
  <c r="AK53" i="9"/>
  <c r="AK54" i="9" s="1"/>
  <c r="AT53" i="9"/>
  <c r="AT54" i="9" s="1"/>
  <c r="P53" i="9"/>
  <c r="P54" i="9" s="1"/>
  <c r="AI53" i="9"/>
  <c r="AI54" i="9" s="1"/>
  <c r="Q53" i="9"/>
  <c r="Q54" i="9" s="1"/>
  <c r="AJ53" i="9"/>
  <c r="AJ54" i="9" s="1"/>
  <c r="W53" i="9"/>
  <c r="W54" i="9" s="1"/>
  <c r="AO53" i="9"/>
  <c r="AO54" i="9" s="1"/>
  <c r="X53" i="9"/>
  <c r="X54" i="9" s="1"/>
  <c r="AQ53" i="9"/>
  <c r="AQ54" i="9" s="1"/>
  <c r="O53" i="9"/>
  <c r="O54" i="9" s="1"/>
  <c r="AG53" i="9"/>
  <c r="AG54" i="9" s="1"/>
  <c r="N53" i="9"/>
  <c r="N54" i="9" s="1"/>
  <c r="Y53" i="9"/>
  <c r="Y54" i="9" s="1"/>
  <c r="AA53" i="9"/>
  <c r="AA54" i="9" s="1"/>
  <c r="AF53" i="9"/>
  <c r="AF54" i="9" s="1"/>
  <c r="AR53" i="9"/>
  <c r="AR54" i="9" s="1"/>
  <c r="AS53" i="9"/>
  <c r="AS54" i="9" s="1"/>
  <c r="I53" i="9"/>
  <c r="I54" i="9" s="1"/>
  <c r="AL34" i="9"/>
  <c r="AR38" i="9" s="1"/>
  <c r="AS43" i="9" s="1"/>
  <c r="AS67" i="9" s="1"/>
  <c r="AS34" i="9"/>
  <c r="AY38" i="9" s="1"/>
  <c r="AZ43" i="9" s="1"/>
  <c r="AZ67" i="9" s="1"/>
  <c r="AE34" i="9"/>
  <c r="AK38" i="9" s="1"/>
  <c r="AL43" i="9" s="1"/>
  <c r="AL67" i="9" s="1"/>
  <c r="X34" i="9"/>
  <c r="AD38" i="9" s="1"/>
  <c r="AE43" i="9" s="1"/>
  <c r="AE67" i="9" s="1"/>
  <c r="I37" i="9"/>
  <c r="J42" i="9" s="1"/>
  <c r="J57" i="9" s="1"/>
  <c r="AF61" i="9" s="1"/>
  <c r="Q34" i="9"/>
  <c r="W38" i="9" s="1"/>
  <c r="X43" i="9" s="1"/>
  <c r="X67" i="9" s="1"/>
  <c r="J34" i="9"/>
  <c r="P38" i="9" s="1"/>
  <c r="Q43" i="9" s="1"/>
  <c r="Q67" i="9" s="1"/>
  <c r="C34" i="9"/>
  <c r="I38" i="9" s="1"/>
  <c r="J43" i="9" s="1"/>
  <c r="J67" i="9" s="1"/>
  <c r="J71" i="9" s="1"/>
  <c r="K36" i="10"/>
  <c r="K35" i="10"/>
  <c r="L33" i="10" s="1"/>
  <c r="BA62" i="9"/>
  <c r="J49" i="10"/>
  <c r="K49" i="10"/>
  <c r="J47" i="10"/>
  <c r="J46" i="10"/>
  <c r="H39" i="9"/>
  <c r="I44" i="9" s="1"/>
  <c r="I77" i="9" s="1"/>
  <c r="I35" i="9"/>
  <c r="O39" i="9" s="1"/>
  <c r="P44" i="9" s="1"/>
  <c r="P77" i="9" s="1"/>
  <c r="O79" i="9"/>
  <c r="O78" i="9"/>
  <c r="J61" i="10"/>
  <c r="J58" i="10"/>
  <c r="J57" i="10"/>
  <c r="BC62" i="9"/>
  <c r="BE63" i="9"/>
  <c r="BE64" i="9" s="1"/>
  <c r="H5" i="11" s="1"/>
  <c r="N34" i="9"/>
  <c r="T38" i="9" s="1"/>
  <c r="U43" i="9" s="1"/>
  <c r="U67" i="9" s="1"/>
  <c r="U34" i="9"/>
  <c r="AA38" i="9" s="1"/>
  <c r="AB43" i="9" s="1"/>
  <c r="AB67" i="9" s="1"/>
  <c r="AB34" i="9"/>
  <c r="AH38" i="9" s="1"/>
  <c r="AI43" i="9" s="1"/>
  <c r="AI67" i="9" s="1"/>
  <c r="M37" i="9"/>
  <c r="N42" i="9" s="1"/>
  <c r="N57" i="9" s="1"/>
  <c r="G34" i="9"/>
  <c r="M38" i="9" s="1"/>
  <c r="N43" i="9" s="1"/>
  <c r="N67" i="9" s="1"/>
  <c r="AW34" i="9"/>
  <c r="BC38" i="9" s="1"/>
  <c r="BD43" i="9" s="1"/>
  <c r="BD67" i="9" s="1"/>
  <c r="AP34" i="9"/>
  <c r="AV38" i="9" s="1"/>
  <c r="AW43" i="9" s="1"/>
  <c r="AW67" i="9" s="1"/>
  <c r="AI34" i="9"/>
  <c r="AO38" i="9" s="1"/>
  <c r="AP43" i="9" s="1"/>
  <c r="AP67" i="9" s="1"/>
  <c r="BB62" i="9"/>
  <c r="Q8" i="5"/>
  <c r="W68" i="9"/>
  <c r="W69" i="9"/>
  <c r="BE52" i="9"/>
  <c r="G4" i="11" s="1"/>
  <c r="BD52" i="9"/>
  <c r="AY52" i="9"/>
  <c r="BC52" i="9"/>
  <c r="BA52" i="9"/>
  <c r="BB52" i="9"/>
  <c r="AZ52" i="9"/>
  <c r="I71" i="9"/>
  <c r="I69" i="9"/>
  <c r="I68" i="9"/>
  <c r="U39" i="9"/>
  <c r="V44" i="9" s="1"/>
  <c r="V77" i="9" s="1"/>
  <c r="V35" i="9"/>
  <c r="AB39" i="9" s="1"/>
  <c r="AC44" i="9" s="1"/>
  <c r="AC77" i="9" s="1"/>
  <c r="P68" i="9"/>
  <c r="P69" i="9"/>
  <c r="N37" i="9"/>
  <c r="O42" i="9" s="1"/>
  <c r="O57" i="9" s="1"/>
  <c r="H34" i="9"/>
  <c r="N38" i="9" s="1"/>
  <c r="O43" i="9" s="1"/>
  <c r="O67" i="9" s="1"/>
  <c r="O34" i="9"/>
  <c r="U38" i="9" s="1"/>
  <c r="V43" i="9" s="1"/>
  <c r="V67" i="9" s="1"/>
  <c r="V34" i="9"/>
  <c r="AB38" i="9" s="1"/>
  <c r="AC43" i="9" s="1"/>
  <c r="AC67" i="9" s="1"/>
  <c r="AX34" i="9"/>
  <c r="BD38" i="9" s="1"/>
  <c r="BE43" i="9" s="1"/>
  <c r="BE67" i="9" s="1"/>
  <c r="AC34" i="9"/>
  <c r="AI38" i="9" s="1"/>
  <c r="AJ43" i="9" s="1"/>
  <c r="AJ67" i="9" s="1"/>
  <c r="AQ34" i="9"/>
  <c r="AW38" i="9" s="1"/>
  <c r="AX43" i="9" s="1"/>
  <c r="AX67" i="9" s="1"/>
  <c r="AJ34" i="9"/>
  <c r="AP38" i="9" s="1"/>
  <c r="AQ43" i="9" s="1"/>
  <c r="AQ67" i="9" s="1"/>
  <c r="Q9" i="5"/>
  <c r="AR68" i="9"/>
  <c r="AR69" i="9"/>
  <c r="M28" i="10"/>
  <c r="L30" i="10"/>
  <c r="M39" i="10" s="1"/>
  <c r="M45" i="10" s="1"/>
  <c r="L29" i="10"/>
  <c r="Z34" i="9"/>
  <c r="AF38" i="9" s="1"/>
  <c r="AG43" i="9" s="1"/>
  <c r="AG67" i="9" s="1"/>
  <c r="AG34" i="9"/>
  <c r="AM38" i="9" s="1"/>
  <c r="AN43" i="9" s="1"/>
  <c r="AN67" i="9" s="1"/>
  <c r="AN34" i="9"/>
  <c r="AT38" i="9" s="1"/>
  <c r="AU43" i="9" s="1"/>
  <c r="AU67" i="9" s="1"/>
  <c r="S34" i="9"/>
  <c r="Y38" i="9" s="1"/>
  <c r="Z43" i="9" s="1"/>
  <c r="Z67" i="9" s="1"/>
  <c r="E34" i="9"/>
  <c r="K38" i="9" s="1"/>
  <c r="L43" i="9" s="1"/>
  <c r="L67" i="9" s="1"/>
  <c r="L34" i="9"/>
  <c r="R38" i="9" s="1"/>
  <c r="S43" i="9" s="1"/>
  <c r="S67" i="9" s="1"/>
  <c r="K37" i="9"/>
  <c r="L42" i="9" s="1"/>
  <c r="L57" i="9" s="1"/>
  <c r="AU34" i="9"/>
  <c r="BA38" i="9" s="1"/>
  <c r="BB43" i="9" s="1"/>
  <c r="BB67" i="9" s="1"/>
  <c r="P52" i="9"/>
  <c r="X52" i="9"/>
  <c r="AF52" i="9"/>
  <c r="AN52" i="9"/>
  <c r="AV52" i="9"/>
  <c r="Q52" i="9"/>
  <c r="Y52" i="9"/>
  <c r="AG52" i="9"/>
  <c r="AO52" i="9"/>
  <c r="AW52" i="9"/>
  <c r="J52" i="9"/>
  <c r="R52" i="9"/>
  <c r="Z52" i="9"/>
  <c r="AH52" i="9"/>
  <c r="AP52" i="9"/>
  <c r="AX52" i="9"/>
  <c r="D4" i="11" s="1"/>
  <c r="O52" i="9"/>
  <c r="W52" i="9"/>
  <c r="AE52" i="9"/>
  <c r="AM52" i="9"/>
  <c r="AU52" i="9"/>
  <c r="U52" i="9"/>
  <c r="AK52" i="9"/>
  <c r="V52" i="9"/>
  <c r="AL52" i="9"/>
  <c r="K52" i="9"/>
  <c r="AA52" i="9"/>
  <c r="AQ52" i="9"/>
  <c r="L52" i="9"/>
  <c r="T52" i="9"/>
  <c r="AJ52" i="9"/>
  <c r="N52" i="9"/>
  <c r="AT52" i="9"/>
  <c r="S52" i="9"/>
  <c r="I52" i="9"/>
  <c r="AB52" i="9"/>
  <c r="AC52" i="9"/>
  <c r="AD52" i="9"/>
  <c r="AI52" i="9"/>
  <c r="M52" i="9"/>
  <c r="AS52" i="9"/>
  <c r="AR52" i="9"/>
  <c r="J39" i="9"/>
  <c r="K44" i="9" s="1"/>
  <c r="K77" i="9" s="1"/>
  <c r="K35" i="9"/>
  <c r="Q39" i="9" s="1"/>
  <c r="R44" i="9" s="1"/>
  <c r="R77" i="9" s="1"/>
  <c r="Q10" i="5"/>
  <c r="T34" i="9"/>
  <c r="Z38" i="9" s="1"/>
  <c r="AA43" i="9" s="1"/>
  <c r="AA67" i="9" s="1"/>
  <c r="AA34" i="9"/>
  <c r="AG38" i="9" s="1"/>
  <c r="AH43" i="9" s="1"/>
  <c r="AH67" i="9" s="1"/>
  <c r="AH34" i="9"/>
  <c r="AN38" i="9" s="1"/>
  <c r="AO43" i="9" s="1"/>
  <c r="AO67" i="9" s="1"/>
  <c r="M34" i="9"/>
  <c r="S38" i="9" s="1"/>
  <c r="T43" i="9" s="1"/>
  <c r="T67" i="9" s="1"/>
  <c r="F34" i="9"/>
  <c r="L38" i="9" s="1"/>
  <c r="M43" i="9" s="1"/>
  <c r="M67" i="9" s="1"/>
  <c r="AO34" i="9"/>
  <c r="AU38" i="9" s="1"/>
  <c r="AV43" i="9" s="1"/>
  <c r="AV67" i="9" s="1"/>
  <c r="AV34" i="9"/>
  <c r="BB38" i="9" s="1"/>
  <c r="BC43" i="9" s="1"/>
  <c r="BC67" i="9" s="1"/>
  <c r="L37" i="9"/>
  <c r="M42" i="9" s="1"/>
  <c r="M57" i="9" s="1"/>
  <c r="L39" i="9"/>
  <c r="M44" i="9" s="1"/>
  <c r="M77" i="9" s="1"/>
  <c r="M35" i="9"/>
  <c r="S39" i="9" s="1"/>
  <c r="T44" i="9" s="1"/>
  <c r="T77" i="9" s="1"/>
  <c r="T35" i="9"/>
  <c r="Z39" i="9" s="1"/>
  <c r="AA44" i="9" s="1"/>
  <c r="AA77" i="9" s="1"/>
  <c r="AA35" i="9"/>
  <c r="AG39" i="9" s="1"/>
  <c r="AH44" i="9" s="1"/>
  <c r="AH77" i="9" s="1"/>
  <c r="AF34" i="9"/>
  <c r="AL38" i="9" s="1"/>
  <c r="AM43" i="9" s="1"/>
  <c r="AM67" i="9" s="1"/>
  <c r="AM34" i="9"/>
  <c r="AS38" i="9" s="1"/>
  <c r="AT43" i="9" s="1"/>
  <c r="AT67" i="9" s="1"/>
  <c r="AT34" i="9"/>
  <c r="AZ38" i="9" s="1"/>
  <c r="BA43" i="9" s="1"/>
  <c r="BA67" i="9" s="1"/>
  <c r="Y34" i="9"/>
  <c r="AE38" i="9" s="1"/>
  <c r="AF43" i="9" s="1"/>
  <c r="AF67" i="9" s="1"/>
  <c r="K34" i="9"/>
  <c r="Q38" i="9" s="1"/>
  <c r="R43" i="9" s="1"/>
  <c r="R67" i="9" s="1"/>
  <c r="J37" i="9"/>
  <c r="K42" i="9" s="1"/>
  <c r="K57" i="9" s="1"/>
  <c r="D34" i="9"/>
  <c r="J38" i="9" s="1"/>
  <c r="K43" i="9" s="1"/>
  <c r="K67" i="9" s="1"/>
  <c r="R34" i="9"/>
  <c r="X38" i="9" s="1"/>
  <c r="Y43" i="9" s="1"/>
  <c r="Y67" i="9" s="1"/>
  <c r="AD69" i="9"/>
  <c r="AD68" i="9"/>
  <c r="I61" i="9"/>
  <c r="I59" i="9"/>
  <c r="X61" i="9"/>
  <c r="I58" i="9"/>
  <c r="K46" i="10"/>
  <c r="K47" i="10"/>
  <c r="AR61" i="9" l="1"/>
  <c r="AX61" i="9"/>
  <c r="C5" i="11" s="1"/>
  <c r="K61" i="9"/>
  <c r="BC71" i="9"/>
  <c r="S61" i="9"/>
  <c r="N61" i="9"/>
  <c r="AW61" i="9"/>
  <c r="AN61" i="9"/>
  <c r="U61" i="9"/>
  <c r="AO61" i="9"/>
  <c r="L46" i="10"/>
  <c r="K61" i="10"/>
  <c r="L47" i="10"/>
  <c r="L51" i="10" s="1"/>
  <c r="L52" i="10" s="1"/>
  <c r="P61" i="9"/>
  <c r="AG61" i="9"/>
  <c r="BA71" i="9"/>
  <c r="AZ71" i="9"/>
  <c r="AC61" i="9"/>
  <c r="AU61" i="9"/>
  <c r="R35" i="9"/>
  <c r="Q35" i="9"/>
  <c r="W39" i="9" s="1"/>
  <c r="X44" i="9" s="1"/>
  <c r="X77" i="9" s="1"/>
  <c r="X79" i="9" s="1"/>
  <c r="P35" i="9"/>
  <c r="K57" i="10"/>
  <c r="K62" i="10" s="1"/>
  <c r="Z35" i="9"/>
  <c r="AF39" i="9" s="1"/>
  <c r="AG44" i="9" s="1"/>
  <c r="AG77" i="9" s="1"/>
  <c r="AG71" i="9"/>
  <c r="M61" i="9"/>
  <c r="AB61" i="9"/>
  <c r="K37" i="10"/>
  <c r="L40" i="10" s="1"/>
  <c r="L56" i="10" s="1"/>
  <c r="L61" i="10" s="1"/>
  <c r="AH78" i="9"/>
  <c r="AH79" i="9"/>
  <c r="AN68" i="9"/>
  <c r="AN69" i="9"/>
  <c r="AQ68" i="9"/>
  <c r="AQ69" i="9"/>
  <c r="AC71" i="9"/>
  <c r="AQ71" i="9"/>
  <c r="I73" i="9"/>
  <c r="I74" i="9" s="1"/>
  <c r="AK71" i="9"/>
  <c r="AF71" i="9"/>
  <c r="AP68" i="9"/>
  <c r="AP69" i="9"/>
  <c r="Q68" i="9"/>
  <c r="Q69" i="9"/>
  <c r="AV69" i="9"/>
  <c r="AV68" i="9"/>
  <c r="AX69" i="9"/>
  <c r="AX68" i="9"/>
  <c r="U71" i="9"/>
  <c r="AM71" i="9"/>
  <c r="X71" i="9"/>
  <c r="L78" i="9"/>
  <c r="L79" i="9"/>
  <c r="K59" i="9"/>
  <c r="K58" i="9"/>
  <c r="L62" i="9" s="1"/>
  <c r="AH35" i="9"/>
  <c r="AN39" i="9" s="1"/>
  <c r="AO44" i="9" s="1"/>
  <c r="AO77" i="9" s="1"/>
  <c r="BB69" i="9"/>
  <c r="BB68" i="9"/>
  <c r="AJ69" i="9"/>
  <c r="AJ68" i="9"/>
  <c r="AC79" i="9"/>
  <c r="AC78" i="9"/>
  <c r="AS71" i="9"/>
  <c r="AI71" i="9"/>
  <c r="AB71" i="9"/>
  <c r="L71" i="9"/>
  <c r="AO71" i="9"/>
  <c r="P71" i="9"/>
  <c r="BD69" i="9"/>
  <c r="BD68" i="9"/>
  <c r="J50" i="10"/>
  <c r="L50" i="10"/>
  <c r="K50" i="10"/>
  <c r="J59" i="9"/>
  <c r="J58" i="9"/>
  <c r="BE71" i="9"/>
  <c r="F6" i="11" s="1"/>
  <c r="L20" i="11" s="1"/>
  <c r="AW69" i="9"/>
  <c r="AW68" i="9"/>
  <c r="M69" i="9"/>
  <c r="M68" i="9"/>
  <c r="AJ61" i="9"/>
  <c r="T61" i="9"/>
  <c r="L61" i="9"/>
  <c r="I63" i="9"/>
  <c r="I64" i="9" s="1"/>
  <c r="AP61" i="9"/>
  <c r="Y61" i="9"/>
  <c r="R69" i="9"/>
  <c r="R68" i="9"/>
  <c r="T79" i="9"/>
  <c r="T78" i="9"/>
  <c r="T69" i="9"/>
  <c r="T68" i="9"/>
  <c r="L58" i="9"/>
  <c r="L59" i="9"/>
  <c r="M46" i="10"/>
  <c r="M50" i="10" s="1"/>
  <c r="M47" i="10"/>
  <c r="BE68" i="9"/>
  <c r="BE69" i="9"/>
  <c r="T71" i="9"/>
  <c r="AE71" i="9"/>
  <c r="N71" i="9"/>
  <c r="AX71" i="9"/>
  <c r="C6" i="11" s="1"/>
  <c r="L15" i="11" s="1"/>
  <c r="N69" i="9"/>
  <c r="N68" i="9"/>
  <c r="J62" i="10"/>
  <c r="AE68" i="9"/>
  <c r="AE69" i="9"/>
  <c r="J79" i="9"/>
  <c r="J78" i="9"/>
  <c r="BC69" i="9"/>
  <c r="BC68" i="9"/>
  <c r="K69" i="9"/>
  <c r="K68" i="9"/>
  <c r="L58" i="10"/>
  <c r="L63" i="10" s="1"/>
  <c r="L64" i="10" s="1"/>
  <c r="AL69" i="9"/>
  <c r="AL68" i="9"/>
  <c r="U35" i="9"/>
  <c r="Z79" i="9"/>
  <c r="Z78" i="9"/>
  <c r="Q11" i="5"/>
  <c r="X68" i="9"/>
  <c r="X69" i="9"/>
  <c r="BD71" i="9"/>
  <c r="AE61" i="9"/>
  <c r="AT61" i="9"/>
  <c r="AM61" i="9"/>
  <c r="AH61" i="9"/>
  <c r="Q61" i="9"/>
  <c r="AF69" i="9"/>
  <c r="AF68" i="9"/>
  <c r="AO68" i="9"/>
  <c r="AO69" i="9"/>
  <c r="S69" i="9"/>
  <c r="S68" i="9"/>
  <c r="N28" i="10"/>
  <c r="M30" i="10"/>
  <c r="N39" i="10" s="1"/>
  <c r="N45" i="10" s="1"/>
  <c r="M29" i="10"/>
  <c r="AC69" i="9"/>
  <c r="AC68" i="9"/>
  <c r="S71" i="9"/>
  <c r="AU71" i="9"/>
  <c r="AL71" i="9"/>
  <c r="AP71" i="9"/>
  <c r="Y71" i="9"/>
  <c r="N58" i="9"/>
  <c r="N59" i="9"/>
  <c r="J63" i="10"/>
  <c r="J64" i="10" s="1"/>
  <c r="K63" i="10"/>
  <c r="K64" i="10" s="1"/>
  <c r="AS61" i="9"/>
  <c r="O61" i="9"/>
  <c r="W61" i="9"/>
  <c r="AQ61" i="9"/>
  <c r="Z61" i="9"/>
  <c r="BA68" i="9"/>
  <c r="BA69" i="9"/>
  <c r="AO35" i="9"/>
  <c r="AU39" i="9" s="1"/>
  <c r="AV44" i="9" s="1"/>
  <c r="AV77" i="9" s="1"/>
  <c r="AH68" i="9"/>
  <c r="AH69" i="9"/>
  <c r="R79" i="9"/>
  <c r="R78" i="9"/>
  <c r="L69" i="9"/>
  <c r="L68" i="9"/>
  <c r="AR72" i="9" s="1"/>
  <c r="V69" i="9"/>
  <c r="V68" i="9"/>
  <c r="AC35" i="9"/>
  <c r="AI39" i="9" s="1"/>
  <c r="AJ44" i="9" s="1"/>
  <c r="AJ77" i="9" s="1"/>
  <c r="AT71" i="9"/>
  <c r="AJ71" i="9"/>
  <c r="AA71" i="9"/>
  <c r="AH71" i="9"/>
  <c r="Q71" i="9"/>
  <c r="AI68" i="9"/>
  <c r="AI69" i="9"/>
  <c r="P79" i="9"/>
  <c r="P78" i="9"/>
  <c r="J51" i="10"/>
  <c r="J52" i="10" s="1"/>
  <c r="K51" i="10"/>
  <c r="K52" i="10" s="1"/>
  <c r="L36" i="10"/>
  <c r="L35" i="10"/>
  <c r="M33" i="10" s="1"/>
  <c r="AZ68" i="9"/>
  <c r="AZ69" i="9"/>
  <c r="AY73" i="9"/>
  <c r="AY74" i="9" s="1"/>
  <c r="S79" i="9"/>
  <c r="S78" i="9"/>
  <c r="Y68" i="9"/>
  <c r="Y69" i="9"/>
  <c r="J62" i="9"/>
  <c r="I62" i="9"/>
  <c r="AA79" i="9"/>
  <c r="AA78" i="9"/>
  <c r="AG68" i="9"/>
  <c r="AG69" i="9"/>
  <c r="O71" i="9"/>
  <c r="W71" i="9"/>
  <c r="AW71" i="9"/>
  <c r="AV61" i="9"/>
  <c r="AL61" i="9"/>
  <c r="AI61" i="9"/>
  <c r="R61" i="9"/>
  <c r="AT69" i="9"/>
  <c r="AT68" i="9"/>
  <c r="M79" i="9"/>
  <c r="M78" i="9"/>
  <c r="AA69" i="9"/>
  <c r="AA68" i="9"/>
  <c r="K79" i="9"/>
  <c r="K78" i="9"/>
  <c r="Z68" i="9"/>
  <c r="Z69" i="9"/>
  <c r="O68" i="9"/>
  <c r="O69" i="9"/>
  <c r="V79" i="9"/>
  <c r="V78" i="9"/>
  <c r="W72" i="9"/>
  <c r="I72" i="9"/>
  <c r="V71" i="9"/>
  <c r="M71" i="9"/>
  <c r="Z71" i="9"/>
  <c r="AV71" i="9"/>
  <c r="Q79" i="9"/>
  <c r="Q78" i="9"/>
  <c r="AB69" i="9"/>
  <c r="AB68" i="9"/>
  <c r="P81" i="9"/>
  <c r="Q81" i="9"/>
  <c r="J81" i="9"/>
  <c r="R81" i="9"/>
  <c r="O81" i="9"/>
  <c r="S81" i="9"/>
  <c r="I81" i="9"/>
  <c r="I79" i="9"/>
  <c r="I78" i="9"/>
  <c r="T81" i="9"/>
  <c r="U81" i="9"/>
  <c r="N81" i="9"/>
  <c r="M81" i="9"/>
  <c r="V81" i="9"/>
  <c r="L81" i="9"/>
  <c r="K81" i="9"/>
  <c r="AS69" i="9"/>
  <c r="AS68" i="9"/>
  <c r="U79" i="9"/>
  <c r="U78" i="9"/>
  <c r="BB71" i="9"/>
  <c r="AG78" i="9"/>
  <c r="AG79" i="9"/>
  <c r="AD61" i="9"/>
  <c r="AK61" i="9"/>
  <c r="V61" i="9"/>
  <c r="AA61" i="9"/>
  <c r="J61" i="9"/>
  <c r="AM69" i="9"/>
  <c r="AM68" i="9"/>
  <c r="M58" i="9"/>
  <c r="M59" i="9"/>
  <c r="AU69" i="9"/>
  <c r="AU68" i="9"/>
  <c r="O59" i="9"/>
  <c r="O58" i="9"/>
  <c r="AR71" i="9"/>
  <c r="AD71" i="9"/>
  <c r="K71" i="9"/>
  <c r="R71" i="9"/>
  <c r="AN71" i="9"/>
  <c r="U68" i="9"/>
  <c r="U69" i="9"/>
  <c r="M49" i="10"/>
  <c r="J69" i="9"/>
  <c r="K73" i="9" s="1"/>
  <c r="K74" i="9" s="1"/>
  <c r="J68" i="9"/>
  <c r="N79" i="9"/>
  <c r="N78" i="9"/>
  <c r="AY72" i="9"/>
  <c r="AG35" i="9"/>
  <c r="AM39" i="9" s="1"/>
  <c r="AN44" i="9" s="1"/>
  <c r="AN77" i="9" s="1"/>
  <c r="K62" i="9" l="1"/>
  <c r="BD72" i="9"/>
  <c r="Q72" i="9"/>
  <c r="AO62" i="9"/>
  <c r="L37" i="10"/>
  <c r="M40" i="10" s="1"/>
  <c r="M56" i="10" s="1"/>
  <c r="M61" i="10" s="1"/>
  <c r="X78" i="9"/>
  <c r="L57" i="10"/>
  <c r="L62" i="10" s="1"/>
  <c r="X35" i="9"/>
  <c r="AD39" i="9" s="1"/>
  <c r="AE44" i="9" s="1"/>
  <c r="AE77" i="9" s="1"/>
  <c r="M51" i="10"/>
  <c r="M52" i="10" s="1"/>
  <c r="BE73" i="9"/>
  <c r="BE74" i="9" s="1"/>
  <c r="H6" i="11" s="1"/>
  <c r="N20" i="11" s="1"/>
  <c r="K63" i="9"/>
  <c r="K64" i="9" s="1"/>
  <c r="U72" i="9"/>
  <c r="M62" i="9"/>
  <c r="BB73" i="9"/>
  <c r="BB74" i="9" s="1"/>
  <c r="M72" i="9"/>
  <c r="K72" i="9"/>
  <c r="AE72" i="9"/>
  <c r="AM62" i="9"/>
  <c r="AG62" i="9"/>
  <c r="J63" i="9"/>
  <c r="J64" i="9" s="1"/>
  <c r="X62" i="9"/>
  <c r="Y62" i="9"/>
  <c r="AB63" i="9"/>
  <c r="AB64" i="9" s="1"/>
  <c r="AA72" i="9"/>
  <c r="R72" i="9"/>
  <c r="AG72" i="9"/>
  <c r="P62" i="9"/>
  <c r="BC72" i="9"/>
  <c r="AV35" i="9"/>
  <c r="BB39" i="9" s="1"/>
  <c r="BC44" i="9" s="1"/>
  <c r="BC77" i="9" s="1"/>
  <c r="BC79" i="9" s="1"/>
  <c r="AA63" i="9"/>
  <c r="AA64" i="9" s="1"/>
  <c r="N72" i="9"/>
  <c r="AJ35" i="9"/>
  <c r="AP39" i="9" s="1"/>
  <c r="AQ44" i="9" s="1"/>
  <c r="AQ77" i="9" s="1"/>
  <c r="AV72" i="9"/>
  <c r="AU62" i="9"/>
  <c r="AK72" i="9"/>
  <c r="AF72" i="9"/>
  <c r="AS62" i="9"/>
  <c r="AX62" i="9"/>
  <c r="D5" i="11" s="1"/>
  <c r="V39" i="9"/>
  <c r="W44" i="9" s="1"/>
  <c r="W77" i="9" s="1"/>
  <c r="W35" i="9"/>
  <c r="J72" i="9"/>
  <c r="Y73" i="9"/>
  <c r="Y74" i="9" s="1"/>
  <c r="AN72" i="9"/>
  <c r="X72" i="9"/>
  <c r="AP62" i="9"/>
  <c r="S72" i="9"/>
  <c r="AZ73" i="9"/>
  <c r="AZ74" i="9" s="1"/>
  <c r="AN73" i="9"/>
  <c r="AN74" i="9" s="1"/>
  <c r="X39" i="9"/>
  <c r="Y44" i="9" s="1"/>
  <c r="Y77" i="9" s="1"/>
  <c r="Y35" i="9"/>
  <c r="N63" i="9"/>
  <c r="N64" i="9" s="1"/>
  <c r="AR63" i="9"/>
  <c r="AR64" i="9" s="1"/>
  <c r="AN63" i="9"/>
  <c r="AN64" i="9" s="1"/>
  <c r="S63" i="9"/>
  <c r="S64" i="9" s="1"/>
  <c r="AW63" i="9"/>
  <c r="AW64" i="9" s="1"/>
  <c r="AQ73" i="9"/>
  <c r="AQ74" i="9" s="1"/>
  <c r="AD73" i="9"/>
  <c r="AD74" i="9" s="1"/>
  <c r="S73" i="9"/>
  <c r="S74" i="9" s="1"/>
  <c r="AH73" i="9"/>
  <c r="AH74" i="9" s="1"/>
  <c r="Q73" i="9"/>
  <c r="Q74" i="9" s="1"/>
  <c r="P83" i="9"/>
  <c r="P84" i="9" s="1"/>
  <c r="Q83" i="9"/>
  <c r="Q84" i="9" s="1"/>
  <c r="J83" i="9"/>
  <c r="J84" i="9" s="1"/>
  <c r="R83" i="9"/>
  <c r="R84" i="9" s="1"/>
  <c r="O83" i="9"/>
  <c r="O84" i="9" s="1"/>
  <c r="S83" i="9"/>
  <c r="S84" i="9" s="1"/>
  <c r="I83" i="9"/>
  <c r="I84" i="9" s="1"/>
  <c r="T83" i="9"/>
  <c r="T84" i="9" s="1"/>
  <c r="U83" i="9"/>
  <c r="U84" i="9" s="1"/>
  <c r="N83" i="9"/>
  <c r="N84" i="9" s="1"/>
  <c r="K83" i="9"/>
  <c r="K84" i="9" s="1"/>
  <c r="L83" i="9"/>
  <c r="L84" i="9" s="1"/>
  <c r="M83" i="9"/>
  <c r="M84" i="9" s="1"/>
  <c r="V83" i="9"/>
  <c r="V84" i="9" s="1"/>
  <c r="AD63" i="9"/>
  <c r="AD64" i="9" s="1"/>
  <c r="AF63" i="9"/>
  <c r="AF64" i="9" s="1"/>
  <c r="N73" i="9"/>
  <c r="N74" i="9" s="1"/>
  <c r="AU73" i="9"/>
  <c r="AU74" i="9" s="1"/>
  <c r="Z73" i="9"/>
  <c r="Z74" i="9" s="1"/>
  <c r="AV73" i="9"/>
  <c r="AV74" i="9" s="1"/>
  <c r="O28" i="10"/>
  <c r="N30" i="10"/>
  <c r="O39" i="10" s="1"/>
  <c r="O45" i="10" s="1"/>
  <c r="N29" i="10"/>
  <c r="AC63" i="9"/>
  <c r="AC64" i="9" s="1"/>
  <c r="L63" i="9"/>
  <c r="L64" i="9" s="1"/>
  <c r="X63" i="9"/>
  <c r="X64" i="9" s="1"/>
  <c r="AX63" i="9"/>
  <c r="AX64" i="9" s="1"/>
  <c r="E5" i="11" s="1"/>
  <c r="AG63" i="9"/>
  <c r="AG64" i="9" s="1"/>
  <c r="V73" i="9"/>
  <c r="V74" i="9" s="1"/>
  <c r="AK73" i="9"/>
  <c r="AK74" i="9" s="1"/>
  <c r="AM73" i="9"/>
  <c r="AM74" i="9" s="1"/>
  <c r="R73" i="9"/>
  <c r="R74" i="9" s="1"/>
  <c r="BA73" i="9"/>
  <c r="BA74" i="9" s="1"/>
  <c r="AO63" i="9"/>
  <c r="AO64" i="9" s="1"/>
  <c r="BC73" i="9"/>
  <c r="BC74" i="9" s="1"/>
  <c r="M36" i="10"/>
  <c r="M35" i="10"/>
  <c r="N33" i="10" s="1"/>
  <c r="AJ79" i="9"/>
  <c r="AJ78" i="9"/>
  <c r="AE63" i="9"/>
  <c r="AE64" i="9" s="1"/>
  <c r="T63" i="9"/>
  <c r="T64" i="9" s="1"/>
  <c r="AM63" i="9"/>
  <c r="AM64" i="9" s="1"/>
  <c r="P63" i="9"/>
  <c r="P64" i="9" s="1"/>
  <c r="AP63" i="9"/>
  <c r="AP64" i="9" s="1"/>
  <c r="Y63" i="9"/>
  <c r="Y64" i="9" s="1"/>
  <c r="AS73" i="9"/>
  <c r="AS74" i="9" s="1"/>
  <c r="U73" i="9"/>
  <c r="U74" i="9" s="1"/>
  <c r="AE73" i="9"/>
  <c r="AE74" i="9" s="1"/>
  <c r="J73" i="9"/>
  <c r="J74" i="9" s="1"/>
  <c r="AF73" i="9"/>
  <c r="AF74" i="9" s="1"/>
  <c r="AV79" i="9"/>
  <c r="AV78" i="9"/>
  <c r="M63" i="9"/>
  <c r="M64" i="9" s="1"/>
  <c r="AU63" i="9"/>
  <c r="AU64" i="9" s="1"/>
  <c r="W63" i="9"/>
  <c r="W64" i="9" s="1"/>
  <c r="AH63" i="9"/>
  <c r="AH64" i="9" s="1"/>
  <c r="Q63" i="9"/>
  <c r="Q64" i="9" s="1"/>
  <c r="AE79" i="9"/>
  <c r="AE78" i="9"/>
  <c r="AA73" i="9"/>
  <c r="AA74" i="9" s="1"/>
  <c r="M73" i="9"/>
  <c r="M74" i="9" s="1"/>
  <c r="AJ73" i="9"/>
  <c r="AJ74" i="9" s="1"/>
  <c r="W73" i="9"/>
  <c r="W74" i="9" s="1"/>
  <c r="AW73" i="9"/>
  <c r="AW74" i="9" s="1"/>
  <c r="X73" i="9"/>
  <c r="X74" i="9" s="1"/>
  <c r="P82" i="9"/>
  <c r="Q82" i="9"/>
  <c r="J82" i="9"/>
  <c r="R82" i="9"/>
  <c r="O82" i="9"/>
  <c r="S82" i="9"/>
  <c r="I82" i="9"/>
  <c r="T82" i="9"/>
  <c r="U82" i="9"/>
  <c r="N82" i="9"/>
  <c r="L82" i="9"/>
  <c r="M82" i="9"/>
  <c r="V82" i="9"/>
  <c r="K82" i="9"/>
  <c r="AQ79" i="9"/>
  <c r="AQ78" i="9"/>
  <c r="AN79" i="9"/>
  <c r="AN78" i="9"/>
  <c r="AM72" i="9"/>
  <c r="O72" i="9"/>
  <c r="T62" i="9"/>
  <c r="AL62" i="9"/>
  <c r="AQ62" i="9"/>
  <c r="BB72" i="9"/>
  <c r="AB72" i="9"/>
  <c r="AX72" i="9"/>
  <c r="D6" i="11" s="1"/>
  <c r="M15" i="11" s="1"/>
  <c r="AK62" i="9"/>
  <c r="BA72" i="9"/>
  <c r="AQ72" i="9"/>
  <c r="AS72" i="9"/>
  <c r="T72" i="9"/>
  <c r="AP72" i="9"/>
  <c r="Y72" i="9"/>
  <c r="AD62" i="9"/>
  <c r="U62" i="9"/>
  <c r="AV62" i="9"/>
  <c r="AA62" i="9"/>
  <c r="BD73" i="9"/>
  <c r="BD74" i="9" s="1"/>
  <c r="N49" i="10"/>
  <c r="AS63" i="9"/>
  <c r="AS64" i="9" s="1"/>
  <c r="O63" i="9"/>
  <c r="O64" i="9" s="1"/>
  <c r="AL63" i="9"/>
  <c r="AL64" i="9" s="1"/>
  <c r="AQ63" i="9"/>
  <c r="AQ64" i="9" s="1"/>
  <c r="Z63" i="9"/>
  <c r="Z64" i="9" s="1"/>
  <c r="AB73" i="9"/>
  <c r="AB74" i="9" s="1"/>
  <c r="AR73" i="9"/>
  <c r="AR74" i="9" s="1"/>
  <c r="T73" i="9"/>
  <c r="T74" i="9" s="1"/>
  <c r="O73" i="9"/>
  <c r="O74" i="9" s="1"/>
  <c r="AO73" i="9"/>
  <c r="AO74" i="9" s="1"/>
  <c r="P73" i="9"/>
  <c r="P74" i="9" s="1"/>
  <c r="N47" i="10"/>
  <c r="N46" i="10"/>
  <c r="N50" i="10" s="1"/>
  <c r="O49" i="10"/>
  <c r="BE72" i="9"/>
  <c r="G6" i="11" s="1"/>
  <c r="M20" i="11" s="1"/>
  <c r="AL72" i="9"/>
  <c r="Q62" i="9"/>
  <c r="AC72" i="9"/>
  <c r="AU72" i="9"/>
  <c r="AO72" i="9"/>
  <c r="P72" i="9"/>
  <c r="AE62" i="9"/>
  <c r="Z62" i="9"/>
  <c r="V72" i="9"/>
  <c r="AJ72" i="9"/>
  <c r="O62" i="9"/>
  <c r="V62" i="9"/>
  <c r="AI62" i="9"/>
  <c r="R62" i="9"/>
  <c r="AZ72" i="9"/>
  <c r="L72" i="9"/>
  <c r="AD72" i="9"/>
  <c r="AT72" i="9"/>
  <c r="AH72" i="9"/>
  <c r="AT62" i="9"/>
  <c r="AR62" i="9"/>
  <c r="AN62" i="9"/>
  <c r="S62" i="9"/>
  <c r="AW62" i="9"/>
  <c r="AJ63" i="9"/>
  <c r="AJ64" i="9" s="1"/>
  <c r="AK63" i="9"/>
  <c r="AK64" i="9" s="1"/>
  <c r="V63" i="9"/>
  <c r="V64" i="9" s="1"/>
  <c r="AI63" i="9"/>
  <c r="AI64" i="9" s="1"/>
  <c r="R63" i="9"/>
  <c r="R64" i="9" s="1"/>
  <c r="AN35" i="9"/>
  <c r="AL73" i="9"/>
  <c r="AL74" i="9" s="1"/>
  <c r="L73" i="9"/>
  <c r="L74" i="9" s="1"/>
  <c r="AX73" i="9"/>
  <c r="AX74" i="9" s="1"/>
  <c r="E6" i="11" s="1"/>
  <c r="N15" i="11" s="1"/>
  <c r="AG73" i="9"/>
  <c r="AG74" i="9" s="1"/>
  <c r="AW72" i="9"/>
  <c r="AC62" i="9"/>
  <c r="AJ62" i="9"/>
  <c r="W62" i="9"/>
  <c r="AH62" i="9"/>
  <c r="AI72" i="9"/>
  <c r="Z72" i="9"/>
  <c r="N62" i="9"/>
  <c r="AB62" i="9"/>
  <c r="AF62" i="9"/>
  <c r="AA39" i="9"/>
  <c r="AB44" i="9" s="1"/>
  <c r="AB77" i="9" s="1"/>
  <c r="AB35" i="9"/>
  <c r="AI35" i="9" s="1"/>
  <c r="AO39" i="9" s="1"/>
  <c r="AP44" i="9" s="1"/>
  <c r="AP77" i="9" s="1"/>
  <c r="AT63" i="9"/>
  <c r="AT64" i="9" s="1"/>
  <c r="U63" i="9"/>
  <c r="U64" i="9" s="1"/>
  <c r="AV63" i="9"/>
  <c r="AV64" i="9" s="1"/>
  <c r="AO79" i="9"/>
  <c r="AO78" i="9"/>
  <c r="AC73" i="9"/>
  <c r="AC74" i="9" s="1"/>
  <c r="AT73" i="9"/>
  <c r="AT74" i="9" s="1"/>
  <c r="AI73" i="9"/>
  <c r="AI74" i="9" s="1"/>
  <c r="AP73" i="9"/>
  <c r="AP74" i="9" s="1"/>
  <c r="BC78" i="9" l="1"/>
  <c r="M58" i="10"/>
  <c r="M63" i="10" s="1"/>
  <c r="M64" i="10" s="1"/>
  <c r="M57" i="10"/>
  <c r="M62" i="10" s="1"/>
  <c r="AE35" i="9"/>
  <c r="Y79" i="9"/>
  <c r="Y78" i="9"/>
  <c r="AC39" i="9"/>
  <c r="AD44" i="9" s="1"/>
  <c r="AD77" i="9" s="1"/>
  <c r="AF81" i="9" s="1"/>
  <c r="AD35" i="9"/>
  <c r="AE39" i="9"/>
  <c r="AF44" i="9" s="1"/>
  <c r="AF77" i="9" s="1"/>
  <c r="AF35" i="9"/>
  <c r="AL39" i="9" s="1"/>
  <c r="AM44" i="9" s="1"/>
  <c r="AM77" i="9" s="1"/>
  <c r="W81" i="9"/>
  <c r="AA81" i="9"/>
  <c r="Y81" i="9"/>
  <c r="X81" i="9"/>
  <c r="W79" i="9"/>
  <c r="W78" i="9"/>
  <c r="Z81" i="9"/>
  <c r="AQ35" i="9"/>
  <c r="AW39" i="9" s="1"/>
  <c r="AX44" i="9" s="1"/>
  <c r="AX77" i="9" s="1"/>
  <c r="AX79" i="9" s="1"/>
  <c r="M37" i="10"/>
  <c r="N40" i="10" s="1"/>
  <c r="N56" i="10" s="1"/>
  <c r="N51" i="10"/>
  <c r="N52" i="10" s="1"/>
  <c r="N36" i="10"/>
  <c r="N35" i="10"/>
  <c r="O33" i="10" s="1"/>
  <c r="N37" i="10"/>
  <c r="O40" i="10" s="1"/>
  <c r="O56" i="10" s="1"/>
  <c r="AH39" i="9"/>
  <c r="AI44" i="9" s="1"/>
  <c r="AI77" i="9" s="1"/>
  <c r="AP35" i="9"/>
  <c r="AV39" i="9" s="1"/>
  <c r="AW44" i="9" s="1"/>
  <c r="AW77" i="9" s="1"/>
  <c r="O46" i="10"/>
  <c r="O47" i="10"/>
  <c r="O51" i="10" s="1"/>
  <c r="O52" i="10" s="1"/>
  <c r="P28" i="10"/>
  <c r="O30" i="10"/>
  <c r="P39" i="10" s="1"/>
  <c r="P45" i="10" s="1"/>
  <c r="P49" i="10" s="1"/>
  <c r="O29" i="10"/>
  <c r="AP79" i="9"/>
  <c r="AP78" i="9"/>
  <c r="AT39" i="9"/>
  <c r="AU44" i="9" s="1"/>
  <c r="AU77" i="9" s="1"/>
  <c r="AU35" i="9"/>
  <c r="BA39" i="9" s="1"/>
  <c r="BB44" i="9" s="1"/>
  <c r="BB77" i="9" s="1"/>
  <c r="AB79" i="9"/>
  <c r="AB78" i="9"/>
  <c r="AC81" i="9"/>
  <c r="AB81" i="9"/>
  <c r="AX78" i="9"/>
  <c r="AG81" i="9" l="1"/>
  <c r="AK39" i="9"/>
  <c r="AL44" i="9" s="1"/>
  <c r="AL77" i="9" s="1"/>
  <c r="AL35" i="9"/>
  <c r="AE81" i="9"/>
  <c r="AH81" i="9"/>
  <c r="AM79" i="9"/>
  <c r="AM78" i="9"/>
  <c r="AJ81" i="9"/>
  <c r="AX35" i="9"/>
  <c r="BD39" i="9" s="1"/>
  <c r="BE44" i="9" s="1"/>
  <c r="BE77" i="9" s="1"/>
  <c r="AD79" i="9"/>
  <c r="AD78" i="9"/>
  <c r="AF82" i="9" s="1"/>
  <c r="X82" i="9"/>
  <c r="AA82" i="9"/>
  <c r="Z82" i="9"/>
  <c r="W82" i="9"/>
  <c r="Y82" i="9"/>
  <c r="Y83" i="9"/>
  <c r="Y84" i="9" s="1"/>
  <c r="W83" i="9"/>
  <c r="W84" i="9" s="1"/>
  <c r="X83" i="9"/>
  <c r="X84" i="9" s="1"/>
  <c r="Z83" i="9"/>
  <c r="Z84" i="9" s="1"/>
  <c r="AA83" i="9"/>
  <c r="AA84" i="9" s="1"/>
  <c r="AJ39" i="9"/>
  <c r="AK44" i="9" s="1"/>
  <c r="AK77" i="9" s="1"/>
  <c r="AQ81" i="9" s="1"/>
  <c r="AK35" i="9"/>
  <c r="AQ39" i="9" s="1"/>
  <c r="AR44" i="9" s="1"/>
  <c r="AR77" i="9" s="1"/>
  <c r="AK81" i="9"/>
  <c r="AM35" i="9"/>
  <c r="AS39" i="9" s="1"/>
  <c r="AT44" i="9" s="1"/>
  <c r="AT77" i="9" s="1"/>
  <c r="AF79" i="9"/>
  <c r="AF78" i="9"/>
  <c r="AI81" i="9"/>
  <c r="AL81" i="9"/>
  <c r="AN81" i="9"/>
  <c r="AD81" i="9"/>
  <c r="AW79" i="9"/>
  <c r="AW78" i="9"/>
  <c r="AW35" i="9"/>
  <c r="BC39" i="9" s="1"/>
  <c r="BD44" i="9" s="1"/>
  <c r="BD77" i="9" s="1"/>
  <c r="AU79" i="9"/>
  <c r="AU78" i="9"/>
  <c r="AI78" i="9"/>
  <c r="AI82" i="9" s="1"/>
  <c r="AI79" i="9"/>
  <c r="BE78" i="9"/>
  <c r="BE79" i="9"/>
  <c r="BB79" i="9"/>
  <c r="BB78" i="9"/>
  <c r="O57" i="10"/>
  <c r="O58" i="10"/>
  <c r="N58" i="10"/>
  <c r="N57" i="10"/>
  <c r="N61" i="10"/>
  <c r="O61" i="10"/>
  <c r="P30" i="10"/>
  <c r="Q39" i="10" s="1"/>
  <c r="Q45" i="10" s="1"/>
  <c r="P29" i="10"/>
  <c r="Q28" i="10"/>
  <c r="AG82" i="9"/>
  <c r="AB82" i="9"/>
  <c r="AC82" i="9"/>
  <c r="AE82" i="9"/>
  <c r="AH82" i="9"/>
  <c r="AD82" i="9"/>
  <c r="AM81" i="9"/>
  <c r="AB83" i="9"/>
  <c r="AB84" i="9" s="1"/>
  <c r="AC83" i="9"/>
  <c r="AC84" i="9" s="1"/>
  <c r="P46" i="10"/>
  <c r="P47" i="10"/>
  <c r="O35" i="10"/>
  <c r="P33" i="10" s="1"/>
  <c r="O36" i="10"/>
  <c r="O37" i="10"/>
  <c r="P40" i="10" s="1"/>
  <c r="P56" i="10" s="1"/>
  <c r="P50" i="10"/>
  <c r="O50" i="10"/>
  <c r="AR39" i="9" l="1"/>
  <c r="AS44" i="9" s="1"/>
  <c r="AS77" i="9" s="1"/>
  <c r="AS35" i="9"/>
  <c r="AY39" i="9" s="1"/>
  <c r="AZ44" i="9" s="1"/>
  <c r="AZ77" i="9" s="1"/>
  <c r="AF83" i="9"/>
  <c r="AF84" i="9" s="1"/>
  <c r="AL79" i="9"/>
  <c r="AL83" i="9" s="1"/>
  <c r="AL84" i="9" s="1"/>
  <c r="AL78" i="9"/>
  <c r="AR82" i="9" s="1"/>
  <c r="AT79" i="9"/>
  <c r="AT78" i="9"/>
  <c r="AD83" i="9"/>
  <c r="AD84" i="9" s="1"/>
  <c r="AW81" i="9"/>
  <c r="AR78" i="9"/>
  <c r="AR79" i="9"/>
  <c r="AG83" i="9"/>
  <c r="AG84" i="9" s="1"/>
  <c r="AX81" i="9"/>
  <c r="C7" i="11" s="1"/>
  <c r="AP81" i="9"/>
  <c r="AO81" i="9"/>
  <c r="AK79" i="9"/>
  <c r="AV81" i="9"/>
  <c r="AR81" i="9"/>
  <c r="AK78" i="9"/>
  <c r="AT81" i="9"/>
  <c r="AE83" i="9"/>
  <c r="AE84" i="9" s="1"/>
  <c r="AM82" i="9"/>
  <c r="AJ82" i="9"/>
  <c r="AT35" i="9"/>
  <c r="AZ39" i="9" s="1"/>
  <c r="BA44" i="9" s="1"/>
  <c r="BA77" i="9" s="1"/>
  <c r="AH83" i="9"/>
  <c r="AH84" i="9" s="1"/>
  <c r="AR35" i="9"/>
  <c r="AX39" i="9" s="1"/>
  <c r="AY44" i="9" s="1"/>
  <c r="AY77" i="9" s="1"/>
  <c r="AS81" i="9"/>
  <c r="Q46" i="10"/>
  <c r="Q50" i="10" s="1"/>
  <c r="Q47" i="10"/>
  <c r="Q51" i="10" s="1"/>
  <c r="Q52" i="10" s="1"/>
  <c r="Q49" i="10"/>
  <c r="P36" i="10"/>
  <c r="P35" i="10"/>
  <c r="P37" i="10" s="1"/>
  <c r="Q40" i="10" s="1"/>
  <c r="Q56" i="10" s="1"/>
  <c r="Q33" i="10"/>
  <c r="P58" i="10"/>
  <c r="P63" i="10" s="1"/>
  <c r="P64" i="10" s="1"/>
  <c r="P57" i="10"/>
  <c r="P62" i="10" s="1"/>
  <c r="Q61" i="10"/>
  <c r="N63" i="10"/>
  <c r="N64" i="10" s="1"/>
  <c r="O63" i="10"/>
  <c r="O64" i="10" s="1"/>
  <c r="AJ83" i="9"/>
  <c r="AJ84" i="9" s="1"/>
  <c r="AI83" i="9"/>
  <c r="AI84" i="9" s="1"/>
  <c r="AL82" i="9"/>
  <c r="R28" i="10"/>
  <c r="Q30" i="10"/>
  <c r="R39" i="10" s="1"/>
  <c r="R45" i="10" s="1"/>
  <c r="Q29" i="10"/>
  <c r="P51" i="10"/>
  <c r="P52" i="10" s="1"/>
  <c r="P61" i="10"/>
  <c r="AP83" i="9"/>
  <c r="AP84" i="9" s="1"/>
  <c r="N62" i="10"/>
  <c r="O62" i="10"/>
  <c r="BD79" i="9"/>
  <c r="BD78" i="9"/>
  <c r="AQ82" i="9" l="1"/>
  <c r="AZ79" i="9"/>
  <c r="AZ78" i="9"/>
  <c r="AS79" i="9"/>
  <c r="AS83" i="9" s="1"/>
  <c r="AS84" i="9" s="1"/>
  <c r="AS78" i="9"/>
  <c r="AT83" i="9"/>
  <c r="AT84" i="9" s="1"/>
  <c r="AU81" i="9"/>
  <c r="BA79" i="9"/>
  <c r="BA78" i="9"/>
  <c r="AR83" i="9"/>
  <c r="AR84" i="9" s="1"/>
  <c r="AK83" i="9"/>
  <c r="AK84" i="9" s="1"/>
  <c r="AN83" i="9"/>
  <c r="AN84" i="9" s="1"/>
  <c r="AY79" i="9"/>
  <c r="AY81" i="9"/>
  <c r="AY78" i="9"/>
  <c r="BC81" i="9"/>
  <c r="BA81" i="9"/>
  <c r="AZ81" i="9"/>
  <c r="BE81" i="9"/>
  <c r="F7" i="11" s="1"/>
  <c r="BD81" i="9"/>
  <c r="BB81" i="9"/>
  <c r="AU83" i="9"/>
  <c r="AU84" i="9" s="1"/>
  <c r="AO83" i="9"/>
  <c r="AO84" i="9" s="1"/>
  <c r="AM83" i="9"/>
  <c r="AM84" i="9" s="1"/>
  <c r="AK82" i="9"/>
  <c r="AO82" i="9"/>
  <c r="AT82" i="9"/>
  <c r="AX82" i="9"/>
  <c r="D7" i="11" s="1"/>
  <c r="AP82" i="9"/>
  <c r="AQ83" i="9"/>
  <c r="AQ84" i="9" s="1"/>
  <c r="AN82" i="9"/>
  <c r="R46" i="10"/>
  <c r="R47" i="10"/>
  <c r="R49" i="10"/>
  <c r="BD82" i="9"/>
  <c r="S28" i="10"/>
  <c r="R30" i="10"/>
  <c r="S39" i="10" s="1"/>
  <c r="S45" i="10" s="1"/>
  <c r="R29" i="10"/>
  <c r="Q36" i="10"/>
  <c r="Q35" i="10"/>
  <c r="Q37" i="10" s="1"/>
  <c r="R40" i="10" s="1"/>
  <c r="R56" i="10" s="1"/>
  <c r="Q58" i="10"/>
  <c r="Q63" i="10" s="1"/>
  <c r="Q64" i="10" s="1"/>
  <c r="Q57" i="10"/>
  <c r="Q62" i="10" s="1"/>
  <c r="AU82" i="9" l="1"/>
  <c r="AW82" i="9"/>
  <c r="AS82" i="9"/>
  <c r="AX83" i="9"/>
  <c r="AX84" i="9" s="1"/>
  <c r="E7" i="11" s="1"/>
  <c r="AW83" i="9"/>
  <c r="AW84" i="9" s="1"/>
  <c r="AV83" i="9"/>
  <c r="AV84" i="9" s="1"/>
  <c r="BE82" i="9"/>
  <c r="G7" i="11" s="1"/>
  <c r="AV82" i="9"/>
  <c r="AY83" i="9"/>
  <c r="AY84" i="9" s="1"/>
  <c r="AZ83" i="9"/>
  <c r="AZ84" i="9" s="1"/>
  <c r="BA83" i="9"/>
  <c r="BA84" i="9" s="1"/>
  <c r="BB83" i="9"/>
  <c r="BB84" i="9" s="1"/>
  <c r="BC83" i="9"/>
  <c r="BC84" i="9" s="1"/>
  <c r="BE83" i="9"/>
  <c r="BE84" i="9" s="1"/>
  <c r="H7" i="11" s="1"/>
  <c r="BD83" i="9"/>
  <c r="BD84" i="9" s="1"/>
  <c r="AY82" i="9"/>
  <c r="BA82" i="9"/>
  <c r="BB82" i="9"/>
  <c r="BC82" i="9"/>
  <c r="AZ82" i="9"/>
  <c r="R57" i="10"/>
  <c r="R62" i="10" s="1"/>
  <c r="R58" i="10"/>
  <c r="R63" i="10" s="1"/>
  <c r="R64" i="10" s="1"/>
  <c r="R33" i="10"/>
  <c r="R50" i="10"/>
  <c r="S46" i="10"/>
  <c r="S47" i="10"/>
  <c r="S49" i="10"/>
  <c r="R51" i="10"/>
  <c r="R52" i="10" s="1"/>
  <c r="R61" i="10"/>
  <c r="T28" i="10"/>
  <c r="S30" i="10"/>
  <c r="T39" i="10" s="1"/>
  <c r="T45" i="10" s="1"/>
  <c r="S29" i="10"/>
  <c r="R35" i="10" l="1"/>
  <c r="S33" i="10" s="1"/>
  <c r="R37" i="10"/>
  <c r="S40" i="10" s="1"/>
  <c r="S56" i="10" s="1"/>
  <c r="R36" i="10"/>
  <c r="T47" i="10"/>
  <c r="T51" i="10" s="1"/>
  <c r="T52" i="10" s="1"/>
  <c r="T46" i="10"/>
  <c r="T50" i="10" s="1"/>
  <c r="T49" i="10"/>
  <c r="S50" i="10"/>
  <c r="U28" i="10"/>
  <c r="T30" i="10"/>
  <c r="U39" i="10" s="1"/>
  <c r="U45" i="10" s="1"/>
  <c r="T29" i="10"/>
  <c r="S51" i="10"/>
  <c r="S52" i="10" s="1"/>
  <c r="S36" i="10" l="1"/>
  <c r="S35" i="10"/>
  <c r="S37" i="10" s="1"/>
  <c r="T40" i="10" s="1"/>
  <c r="T56" i="10" s="1"/>
  <c r="T33" i="10"/>
  <c r="S57" i="10"/>
  <c r="S58" i="10"/>
  <c r="S61" i="10"/>
  <c r="T61" i="10"/>
  <c r="U46" i="10"/>
  <c r="U50" i="10" s="1"/>
  <c r="U47" i="10"/>
  <c r="U51" i="10" s="1"/>
  <c r="U52" i="10" s="1"/>
  <c r="U49" i="10"/>
  <c r="V28" i="10"/>
  <c r="U30" i="10"/>
  <c r="V39" i="10" s="1"/>
  <c r="V45" i="10" s="1"/>
  <c r="U29" i="10"/>
  <c r="S63" i="10" l="1"/>
  <c r="S64" i="10" s="1"/>
  <c r="S62" i="10"/>
  <c r="T58" i="10"/>
  <c r="T63" i="10" s="1"/>
  <c r="T64" i="10" s="1"/>
  <c r="T57" i="10"/>
  <c r="T62" i="10" s="1"/>
  <c r="V47" i="10"/>
  <c r="V51" i="10" s="1"/>
  <c r="V52" i="10" s="1"/>
  <c r="V46" i="10"/>
  <c r="V50" i="10" s="1"/>
  <c r="V49" i="10"/>
  <c r="W28" i="10"/>
  <c r="V30" i="10"/>
  <c r="W39" i="10" s="1"/>
  <c r="W45" i="10" s="1"/>
  <c r="V29" i="10"/>
  <c r="T35" i="10"/>
  <c r="T37" i="10"/>
  <c r="U40" i="10" s="1"/>
  <c r="U56" i="10" s="1"/>
  <c r="U33" i="10"/>
  <c r="T36" i="10"/>
  <c r="U57" i="10" l="1"/>
  <c r="U62" i="10" s="1"/>
  <c r="U58" i="10"/>
  <c r="U63" i="10" s="1"/>
  <c r="U64" i="10" s="1"/>
  <c r="U61" i="10"/>
  <c r="W46" i="10"/>
  <c r="W50" i="10" s="1"/>
  <c r="W47" i="10"/>
  <c r="W51" i="10" s="1"/>
  <c r="W52" i="10" s="1"/>
  <c r="W49" i="10"/>
  <c r="W30" i="10"/>
  <c r="X39" i="10" s="1"/>
  <c r="X45" i="10" s="1"/>
  <c r="W29" i="10"/>
  <c r="X28" i="10"/>
  <c r="U35" i="10"/>
  <c r="U37" i="10" s="1"/>
  <c r="V40" i="10" s="1"/>
  <c r="V56" i="10" s="1"/>
  <c r="V33" i="10"/>
  <c r="U36" i="10"/>
  <c r="V36" i="10" l="1"/>
  <c r="V35" i="10"/>
  <c r="V37" i="10" s="1"/>
  <c r="W40" i="10" s="1"/>
  <c r="W56" i="10" s="1"/>
  <c r="V58" i="10"/>
  <c r="V63" i="10" s="1"/>
  <c r="V64" i="10" s="1"/>
  <c r="V57" i="10"/>
  <c r="V62" i="10" s="1"/>
  <c r="Y28" i="10"/>
  <c r="X30" i="10"/>
  <c r="Y39" i="10" s="1"/>
  <c r="Y45" i="10" s="1"/>
  <c r="X29" i="10"/>
  <c r="X46" i="10"/>
  <c r="X50" i="10" s="1"/>
  <c r="X47" i="10"/>
  <c r="X51" i="10" s="1"/>
  <c r="X52" i="10" s="1"/>
  <c r="X49" i="10"/>
  <c r="V61" i="10"/>
  <c r="Y46" i="10" l="1"/>
  <c r="Y50" i="10" s="1"/>
  <c r="Y47" i="10"/>
  <c r="Y51" i="10" s="1"/>
  <c r="Y52" i="10" s="1"/>
  <c r="Y49" i="10"/>
  <c r="W58" i="10"/>
  <c r="W63" i="10" s="1"/>
  <c r="W64" i="10" s="1"/>
  <c r="W57" i="10"/>
  <c r="W62" i="10" s="1"/>
  <c r="W61" i="10"/>
  <c r="W33" i="10"/>
  <c r="Z28" i="10"/>
  <c r="Y30" i="10"/>
  <c r="Z39" i="10" s="1"/>
  <c r="Z45" i="10" s="1"/>
  <c r="Y29" i="10"/>
  <c r="W35" i="10" l="1"/>
  <c r="W37" i="10" s="1"/>
  <c r="X40" i="10" s="1"/>
  <c r="X56" i="10" s="1"/>
  <c r="W36" i="10"/>
  <c r="X33" i="10"/>
  <c r="Z47" i="10"/>
  <c r="Z51" i="10" s="1"/>
  <c r="Z52" i="10" s="1"/>
  <c r="Z46" i="10"/>
  <c r="Z50" i="10" s="1"/>
  <c r="Z49" i="10"/>
  <c r="AA28" i="10"/>
  <c r="Z30" i="10"/>
  <c r="AA39" i="10" s="1"/>
  <c r="AA45" i="10" s="1"/>
  <c r="Z29" i="10"/>
  <c r="AA46" i="10" l="1"/>
  <c r="AA50" i="10" s="1"/>
  <c r="AA47" i="10"/>
  <c r="AA51" i="10" s="1"/>
  <c r="AA52" i="10" s="1"/>
  <c r="AA49" i="10"/>
  <c r="AB28" i="10"/>
  <c r="AA30" i="10"/>
  <c r="AB39" i="10" s="1"/>
  <c r="AB45" i="10" s="1"/>
  <c r="AA29" i="10"/>
  <c r="X35" i="10"/>
  <c r="X37" i="10" s="1"/>
  <c r="Y40" i="10" s="1"/>
  <c r="Y56" i="10" s="1"/>
  <c r="X36" i="10"/>
  <c r="X57" i="10"/>
  <c r="X62" i="10" s="1"/>
  <c r="X58" i="10"/>
  <c r="X63" i="10" s="1"/>
  <c r="X64" i="10" s="1"/>
  <c r="X61" i="10"/>
  <c r="Y58" i="10" l="1"/>
  <c r="Y63" i="10" s="1"/>
  <c r="Y64" i="10" s="1"/>
  <c r="Y57" i="10"/>
  <c r="Y62" i="10" s="1"/>
  <c r="AB47" i="10"/>
  <c r="AB51" i="10" s="1"/>
  <c r="AB52" i="10" s="1"/>
  <c r="AB46" i="10"/>
  <c r="AB50" i="10" s="1"/>
  <c r="AB49" i="10"/>
  <c r="AC28" i="10"/>
  <c r="AB30" i="10"/>
  <c r="AC39" i="10" s="1"/>
  <c r="AC45" i="10" s="1"/>
  <c r="AB29" i="10"/>
  <c r="Y61" i="10"/>
  <c r="Y33" i="10"/>
  <c r="AD28" i="10" l="1"/>
  <c r="AC30" i="10"/>
  <c r="AD39" i="10" s="1"/>
  <c r="AD45" i="10" s="1"/>
  <c r="AC29" i="10"/>
  <c r="Y36" i="10"/>
  <c r="Y35" i="10"/>
  <c r="Y37" i="10" s="1"/>
  <c r="Z40" i="10" s="1"/>
  <c r="Z56" i="10" s="1"/>
  <c r="Z33" i="10"/>
  <c r="AC46" i="10"/>
  <c r="AC50" i="10" s="1"/>
  <c r="AC47" i="10"/>
  <c r="AC51" i="10" s="1"/>
  <c r="AC52" i="10" s="1"/>
  <c r="AC49" i="10"/>
  <c r="Z36" i="10" l="1"/>
  <c r="Z35" i="10"/>
  <c r="Z37" i="10" s="1"/>
  <c r="AA40" i="10" s="1"/>
  <c r="AA56" i="10" s="1"/>
  <c r="Z58" i="10"/>
  <c r="Z63" i="10" s="1"/>
  <c r="Z64" i="10" s="1"/>
  <c r="Z57" i="10"/>
  <c r="Z62" i="10" s="1"/>
  <c r="Z61" i="10"/>
  <c r="AD47" i="10"/>
  <c r="AD51" i="10" s="1"/>
  <c r="AD52" i="10" s="1"/>
  <c r="AD46" i="10"/>
  <c r="AD50" i="10" s="1"/>
  <c r="AD49" i="10"/>
  <c r="AD30" i="10"/>
  <c r="AE39" i="10" s="1"/>
  <c r="AE45" i="10" s="1"/>
  <c r="AD29" i="10"/>
  <c r="AE28" i="10"/>
  <c r="AA57" i="10" l="1"/>
  <c r="AA62" i="10" s="1"/>
  <c r="AA58" i="10"/>
  <c r="AA63" i="10" s="1"/>
  <c r="AA64" i="10" s="1"/>
  <c r="AA61" i="10"/>
  <c r="AE46" i="10"/>
  <c r="AE50" i="10" s="1"/>
  <c r="AE47" i="10"/>
  <c r="AE51" i="10" s="1"/>
  <c r="AE52" i="10" s="1"/>
  <c r="AE49" i="10"/>
  <c r="AF28" i="10"/>
  <c r="AE30" i="10"/>
  <c r="AF39" i="10" s="1"/>
  <c r="AF45" i="10" s="1"/>
  <c r="AE29" i="10"/>
  <c r="AA33" i="10"/>
  <c r="AA36" i="10" l="1"/>
  <c r="AA35" i="10"/>
  <c r="AB33" i="10" s="1"/>
  <c r="AA37" i="10"/>
  <c r="AB40" i="10" s="1"/>
  <c r="AB56" i="10" s="1"/>
  <c r="AG28" i="10"/>
  <c r="AF30" i="10"/>
  <c r="AG39" i="10" s="1"/>
  <c r="AG45" i="10" s="1"/>
  <c r="AF29" i="10"/>
  <c r="AF46" i="10"/>
  <c r="AF50" i="10" s="1"/>
  <c r="AF47" i="10"/>
  <c r="AF51" i="10" s="1"/>
  <c r="AF52" i="10" s="1"/>
  <c r="AF49" i="10"/>
  <c r="AH28" i="10" l="1"/>
  <c r="AG30" i="10"/>
  <c r="AH39" i="10" s="1"/>
  <c r="AH45" i="10" s="1"/>
  <c r="AG29" i="10"/>
  <c r="AG46" i="10"/>
  <c r="AG50" i="10" s="1"/>
  <c r="AG47" i="10"/>
  <c r="AG51" i="10" s="1"/>
  <c r="AG52" i="10" s="1"/>
  <c r="AG49" i="10"/>
  <c r="AB58" i="10"/>
  <c r="AB57" i="10"/>
  <c r="AB61" i="10"/>
  <c r="AB35" i="10"/>
  <c r="AC33" i="10" s="1"/>
  <c r="AB36" i="10"/>
  <c r="AC36" i="10" l="1"/>
  <c r="AC35" i="10"/>
  <c r="AD33" i="10" s="1"/>
  <c r="AC37" i="10"/>
  <c r="AD40" i="10" s="1"/>
  <c r="AD56" i="10" s="1"/>
  <c r="AB63" i="10"/>
  <c r="AB64" i="10" s="1"/>
  <c r="AH46" i="10"/>
  <c r="AH50" i="10" s="1"/>
  <c r="AH47" i="10"/>
  <c r="AH51" i="10" s="1"/>
  <c r="AH52" i="10" s="1"/>
  <c r="AH49" i="10"/>
  <c r="AB37" i="10"/>
  <c r="AC40" i="10" s="1"/>
  <c r="AC56" i="10" s="1"/>
  <c r="AB62" i="10"/>
  <c r="AI28" i="10"/>
  <c r="AH30" i="10"/>
  <c r="AI39" i="10" s="1"/>
  <c r="AI45" i="10" s="1"/>
  <c r="AH29" i="10"/>
  <c r="AI46" i="10" l="1"/>
  <c r="AI50" i="10" s="1"/>
  <c r="AI47" i="10"/>
  <c r="AI51" i="10" s="1"/>
  <c r="AI52" i="10" s="1"/>
  <c r="AI49" i="10"/>
  <c r="AJ28" i="10"/>
  <c r="AI30" i="10"/>
  <c r="AJ39" i="10" s="1"/>
  <c r="AJ45" i="10" s="1"/>
  <c r="AI29" i="10"/>
  <c r="AD58" i="10"/>
  <c r="AD63" i="10" s="1"/>
  <c r="AD64" i="10" s="1"/>
  <c r="AD57" i="10"/>
  <c r="AD62" i="10" s="1"/>
  <c r="AD36" i="10"/>
  <c r="AD35" i="10"/>
  <c r="AD37" i="10" s="1"/>
  <c r="AE40" i="10" s="1"/>
  <c r="AE56" i="10" s="1"/>
  <c r="AE33" i="10"/>
  <c r="AC58" i="10"/>
  <c r="AC57" i="10"/>
  <c r="AD61" i="10"/>
  <c r="AC61" i="10"/>
  <c r="AE61" i="10"/>
  <c r="AC63" i="10" l="1"/>
  <c r="AC64" i="10" s="1"/>
  <c r="AC62" i="10"/>
  <c r="AE36" i="10"/>
  <c r="AE35" i="10"/>
  <c r="AE37" i="10" s="1"/>
  <c r="AF40" i="10" s="1"/>
  <c r="AF56" i="10" s="1"/>
  <c r="AF33" i="10"/>
  <c r="AJ47" i="10"/>
  <c r="AJ51" i="10" s="1"/>
  <c r="AJ52" i="10" s="1"/>
  <c r="AJ46" i="10"/>
  <c r="AJ50" i="10" s="1"/>
  <c r="AJ49" i="10"/>
  <c r="AK28" i="10"/>
  <c r="AJ30" i="10"/>
  <c r="AK39" i="10" s="1"/>
  <c r="AK45" i="10" s="1"/>
  <c r="AJ29" i="10"/>
  <c r="AE58" i="10"/>
  <c r="AE63" i="10" s="1"/>
  <c r="AE64" i="10" s="1"/>
  <c r="AE57" i="10"/>
  <c r="AE62" i="10" s="1"/>
  <c r="AF35" i="10" l="1"/>
  <c r="AG33" i="10" s="1"/>
  <c r="AF37" i="10"/>
  <c r="AG40" i="10" s="1"/>
  <c r="AG56" i="10" s="1"/>
  <c r="AF36" i="10"/>
  <c r="AK46" i="10"/>
  <c r="AK50" i="10" s="1"/>
  <c r="AK47" i="10"/>
  <c r="AK51" i="10" s="1"/>
  <c r="AK52" i="10" s="1"/>
  <c r="AK49" i="10"/>
  <c r="AF58" i="10"/>
  <c r="AF63" i="10" s="1"/>
  <c r="AF64" i="10" s="1"/>
  <c r="AF57" i="10"/>
  <c r="AF62" i="10" s="1"/>
  <c r="AF61" i="10"/>
  <c r="AG61" i="10"/>
  <c r="AK30" i="10"/>
  <c r="AL39" i="10" s="1"/>
  <c r="AL45" i="10" s="1"/>
  <c r="AK29" i="10"/>
  <c r="AL28" i="10"/>
  <c r="AL47" i="10" l="1"/>
  <c r="AL51" i="10" s="1"/>
  <c r="AL52" i="10" s="1"/>
  <c r="AL46" i="10"/>
  <c r="AL50" i="10" s="1"/>
  <c r="AL49" i="10"/>
  <c r="AG35" i="10"/>
  <c r="AH33" i="10" s="1"/>
  <c r="AG36" i="10"/>
  <c r="AG58" i="10"/>
  <c r="AG63" i="10" s="1"/>
  <c r="AG64" i="10" s="1"/>
  <c r="AG57" i="10"/>
  <c r="AG62" i="10" s="1"/>
  <c r="AL30" i="10"/>
  <c r="AM39" i="10" s="1"/>
  <c r="AM45" i="10" s="1"/>
  <c r="AL29" i="10"/>
  <c r="AM28" i="10"/>
  <c r="AN28" i="10" l="1"/>
  <c r="AM30" i="10"/>
  <c r="AN39" i="10" s="1"/>
  <c r="AN45" i="10" s="1"/>
  <c r="AM29" i="10"/>
  <c r="AH36" i="10"/>
  <c r="AH35" i="10"/>
  <c r="AI33" i="10" s="1"/>
  <c r="AG37" i="10"/>
  <c r="AH40" i="10" s="1"/>
  <c r="AH56" i="10" s="1"/>
  <c r="AM46" i="10"/>
  <c r="AM50" i="10" s="1"/>
  <c r="AM47" i="10"/>
  <c r="AM51" i="10" s="1"/>
  <c r="AM52" i="10" s="1"/>
  <c r="AM49" i="10"/>
  <c r="AI36" i="10" l="1"/>
  <c r="AI35" i="10"/>
  <c r="AJ33" i="10" s="1"/>
  <c r="AH37" i="10"/>
  <c r="AI40" i="10" s="1"/>
  <c r="AI56" i="10" s="1"/>
  <c r="AH57" i="10"/>
  <c r="AH62" i="10" s="1"/>
  <c r="AH58" i="10"/>
  <c r="AH63" i="10" s="1"/>
  <c r="AH64" i="10" s="1"/>
  <c r="AH61" i="10"/>
  <c r="AN46" i="10"/>
  <c r="AN50" i="10" s="1"/>
  <c r="AN47" i="10"/>
  <c r="AN51" i="10" s="1"/>
  <c r="AN52" i="10" s="1"/>
  <c r="AN49" i="10"/>
  <c r="AO28" i="10"/>
  <c r="AN30" i="10"/>
  <c r="AO39" i="10" s="1"/>
  <c r="AO45" i="10" s="1"/>
  <c r="AN29" i="10"/>
  <c r="AI57" i="10" l="1"/>
  <c r="AI62" i="10" s="1"/>
  <c r="AI58" i="10"/>
  <c r="AI63" i="10" s="1"/>
  <c r="AI64" i="10" s="1"/>
  <c r="AI61" i="10"/>
  <c r="AO46" i="10"/>
  <c r="AO50" i="10" s="1"/>
  <c r="AO47" i="10"/>
  <c r="AO51" i="10" s="1"/>
  <c r="AO52" i="10" s="1"/>
  <c r="AO49" i="10"/>
  <c r="AI37" i="10"/>
  <c r="AJ40" i="10" s="1"/>
  <c r="AJ56" i="10" s="1"/>
  <c r="AK61" i="10" s="1"/>
  <c r="AJ36" i="10"/>
  <c r="AJ35" i="10"/>
  <c r="AK33" i="10" s="1"/>
  <c r="AJ37" i="10"/>
  <c r="AK40" i="10" s="1"/>
  <c r="AK56" i="10" s="1"/>
  <c r="AP28" i="10"/>
  <c r="AO30" i="10"/>
  <c r="AP39" i="10" s="1"/>
  <c r="AP45" i="10" s="1"/>
  <c r="AO29" i="10"/>
  <c r="AP47" i="10" l="1"/>
  <c r="AP51" i="10" s="1"/>
  <c r="AP52" i="10" s="1"/>
  <c r="AP46" i="10"/>
  <c r="AP50" i="10" s="1"/>
  <c r="AP49" i="10"/>
  <c r="AQ28" i="10"/>
  <c r="AP30" i="10"/>
  <c r="AQ39" i="10" s="1"/>
  <c r="AQ45" i="10" s="1"/>
  <c r="AP29" i="10"/>
  <c r="AK58" i="10"/>
  <c r="AK63" i="10" s="1"/>
  <c r="AK64" i="10" s="1"/>
  <c r="AK57" i="10"/>
  <c r="AK35" i="10"/>
  <c r="AL33" i="10" s="1"/>
  <c r="AK36" i="10"/>
  <c r="AK37" i="10"/>
  <c r="AL40" i="10" s="1"/>
  <c r="AL56" i="10" s="1"/>
  <c r="AJ57" i="10"/>
  <c r="AJ62" i="10" s="1"/>
  <c r="AJ58" i="10"/>
  <c r="AJ63" i="10" s="1"/>
  <c r="AJ64" i="10" s="1"/>
  <c r="AJ61" i="10"/>
  <c r="AQ46" i="10" l="1"/>
  <c r="AQ50" i="10" s="1"/>
  <c r="AQ47" i="10"/>
  <c r="AQ51" i="10" s="1"/>
  <c r="AQ52" i="10" s="1"/>
  <c r="AQ49" i="10"/>
  <c r="AL58" i="10"/>
  <c r="AL63" i="10" s="1"/>
  <c r="AL64" i="10" s="1"/>
  <c r="AL57" i="10"/>
  <c r="AL62" i="10" s="1"/>
  <c r="AL61" i="10"/>
  <c r="AR28" i="10"/>
  <c r="AQ30" i="10"/>
  <c r="AR39" i="10" s="1"/>
  <c r="AR45" i="10" s="1"/>
  <c r="AQ29" i="10"/>
  <c r="AL35" i="10"/>
  <c r="AM33" i="10" s="1"/>
  <c r="AL36" i="10"/>
  <c r="AL37" i="10"/>
  <c r="AM40" i="10" s="1"/>
  <c r="AM56" i="10" s="1"/>
  <c r="AM61" i="10"/>
  <c r="AK62" i="10"/>
  <c r="AM58" i="10" l="1"/>
  <c r="AM57" i="10"/>
  <c r="AM62" i="10" s="1"/>
  <c r="AM35" i="10"/>
  <c r="AN33" i="10" s="1"/>
  <c r="AM36" i="10"/>
  <c r="AM37" i="10"/>
  <c r="AN40" i="10" s="1"/>
  <c r="AN56" i="10" s="1"/>
  <c r="AR47" i="10"/>
  <c r="AR51" i="10" s="1"/>
  <c r="AR52" i="10" s="1"/>
  <c r="AR46" i="10"/>
  <c r="AR50" i="10" s="1"/>
  <c r="AR49" i="10"/>
  <c r="AR30" i="10"/>
  <c r="AS39" i="10" s="1"/>
  <c r="AS45" i="10" s="1"/>
  <c r="AR29" i="10"/>
  <c r="AS28" i="10"/>
  <c r="AN58" i="10" l="1"/>
  <c r="AN63" i="10" s="1"/>
  <c r="AN64" i="10" s="1"/>
  <c r="AN57" i="10"/>
  <c r="AS46" i="10"/>
  <c r="AS50" i="10" s="1"/>
  <c r="AS47" i="10"/>
  <c r="AS51" i="10" s="1"/>
  <c r="AS52" i="10" s="1"/>
  <c r="AS49" i="10"/>
  <c r="AN36" i="10"/>
  <c r="AN35" i="10"/>
  <c r="AO33" i="10" s="1"/>
  <c r="AN37" i="10"/>
  <c r="AO40" i="10" s="1"/>
  <c r="AO56" i="10" s="1"/>
  <c r="AO61" i="10" s="1"/>
  <c r="AT28" i="10"/>
  <c r="AS30" i="10"/>
  <c r="AT39" i="10" s="1"/>
  <c r="AT45" i="10" s="1"/>
  <c r="AS29" i="10"/>
  <c r="AN61" i="10"/>
  <c r="AM63" i="10"/>
  <c r="AM64" i="10" s="1"/>
  <c r="AT47" i="10" l="1"/>
  <c r="AT51" i="10" s="1"/>
  <c r="AT52" i="10" s="1"/>
  <c r="AT46" i="10"/>
  <c r="AT50" i="10" s="1"/>
  <c r="AT49" i="10"/>
  <c r="AO57" i="10"/>
  <c r="AO62" i="10" s="1"/>
  <c r="AO58" i="10"/>
  <c r="AO35" i="10"/>
  <c r="AP33" i="10" s="1"/>
  <c r="AO36" i="10"/>
  <c r="AN62" i="10"/>
  <c r="AU28" i="10"/>
  <c r="AT30" i="10"/>
  <c r="AU39" i="10" s="1"/>
  <c r="AU45" i="10" s="1"/>
  <c r="AT29" i="10"/>
  <c r="AU46" i="10" l="1"/>
  <c r="AU50" i="10" s="1"/>
  <c r="AU47" i="10"/>
  <c r="AU51" i="10" s="1"/>
  <c r="AU52" i="10" s="1"/>
  <c r="AU49" i="10"/>
  <c r="AO63" i="10"/>
  <c r="AO64" i="10" s="1"/>
  <c r="AV28" i="10"/>
  <c r="AU30" i="10"/>
  <c r="AV39" i="10" s="1"/>
  <c r="AV45" i="10" s="1"/>
  <c r="AU29" i="10"/>
  <c r="AP35" i="10"/>
  <c r="AQ33" i="10" s="1"/>
  <c r="AP36" i="10"/>
  <c r="AO37" i="10"/>
  <c r="AP40" i="10" s="1"/>
  <c r="AP56" i="10" s="1"/>
  <c r="AP37" i="10" l="1"/>
  <c r="AQ40" i="10" s="1"/>
  <c r="AQ56" i="10" s="1"/>
  <c r="AV46" i="10"/>
  <c r="AV50" i="10" s="1"/>
  <c r="AV47" i="10"/>
  <c r="AV51" i="10" s="1"/>
  <c r="AV52" i="10" s="1"/>
  <c r="AV49" i="10"/>
  <c r="AW28" i="10"/>
  <c r="AV30" i="10"/>
  <c r="AW39" i="10" s="1"/>
  <c r="AW45" i="10" s="1"/>
  <c r="AV29" i="10"/>
  <c r="AQ58" i="10"/>
  <c r="AQ57" i="10"/>
  <c r="AQ61" i="10"/>
  <c r="AP57" i="10"/>
  <c r="AP58" i="10"/>
  <c r="AP61" i="10"/>
  <c r="AQ35" i="10"/>
  <c r="AR33" i="10" s="1"/>
  <c r="AQ36" i="10"/>
  <c r="AQ37" i="10" l="1"/>
  <c r="AR40" i="10" s="1"/>
  <c r="AR56" i="10" s="1"/>
  <c r="AR61" i="10" s="1"/>
  <c r="AR58" i="10"/>
  <c r="AR63" i="10" s="1"/>
  <c r="AR64" i="10" s="1"/>
  <c r="AR57" i="10"/>
  <c r="AR62" i="10" s="1"/>
  <c r="AX28" i="10"/>
  <c r="AW30" i="10"/>
  <c r="AX39" i="10" s="1"/>
  <c r="AX45" i="10" s="1"/>
  <c r="AW29" i="10"/>
  <c r="AW46" i="10"/>
  <c r="AW50" i="10" s="1"/>
  <c r="AW47" i="10"/>
  <c r="AW51" i="10" s="1"/>
  <c r="AW52" i="10" s="1"/>
  <c r="AW49" i="10"/>
  <c r="AP63" i="10"/>
  <c r="AP64" i="10" s="1"/>
  <c r="AQ63" i="10"/>
  <c r="AQ64" i="10" s="1"/>
  <c r="AR35" i="10"/>
  <c r="AS33" i="10" s="1"/>
  <c r="AR36" i="10"/>
  <c r="AP62" i="10"/>
  <c r="AQ62" i="10"/>
  <c r="AS36" i="10" l="1"/>
  <c r="AS35" i="10"/>
  <c r="AT33" i="10" s="1"/>
  <c r="AS37" i="10"/>
  <c r="AT40" i="10" s="1"/>
  <c r="AT56" i="10" s="1"/>
  <c r="AR37" i="10"/>
  <c r="AS40" i="10" s="1"/>
  <c r="AS56" i="10" s="1"/>
  <c r="AY28" i="10"/>
  <c r="AX30" i="10"/>
  <c r="AY39" i="10" s="1"/>
  <c r="AY45" i="10" s="1"/>
  <c r="AX29" i="10"/>
  <c r="AX47" i="10"/>
  <c r="AX51" i="10" s="1"/>
  <c r="AX52" i="10" s="1"/>
  <c r="AX46" i="10"/>
  <c r="AX50" i="10" s="1"/>
  <c r="AX49" i="10"/>
  <c r="AY46" i="10" l="1"/>
  <c r="AY50" i="10" s="1"/>
  <c r="AY47" i="10"/>
  <c r="AY51" i="10" s="1"/>
  <c r="AY52" i="10" s="1"/>
  <c r="AY49" i="10"/>
  <c r="AZ28" i="10"/>
  <c r="AY30" i="10"/>
  <c r="AZ39" i="10" s="1"/>
  <c r="AZ45" i="10" s="1"/>
  <c r="AY29" i="10"/>
  <c r="AT58" i="10"/>
  <c r="AT63" i="10" s="1"/>
  <c r="AT64" i="10" s="1"/>
  <c r="AT57" i="10"/>
  <c r="AT62" i="10" s="1"/>
  <c r="AT35" i="10"/>
  <c r="AU33" i="10" s="1"/>
  <c r="AT36" i="10"/>
  <c r="AT37" i="10"/>
  <c r="AU40" i="10" s="1"/>
  <c r="AU56" i="10" s="1"/>
  <c r="AS58" i="10"/>
  <c r="AS63" i="10" s="1"/>
  <c r="AS64" i="10" s="1"/>
  <c r="AS57" i="10"/>
  <c r="AS62" i="10" s="1"/>
  <c r="AU61" i="10"/>
  <c r="AT61" i="10"/>
  <c r="AS61" i="10"/>
  <c r="AZ49" i="10" l="1"/>
  <c r="AZ47" i="10"/>
  <c r="AZ46" i="10"/>
  <c r="AU58" i="10"/>
  <c r="AU63" i="10" s="1"/>
  <c r="AU64" i="10" s="1"/>
  <c r="AU57" i="10"/>
  <c r="AU62" i="10" s="1"/>
  <c r="E8" i="11"/>
  <c r="N16" i="11" s="1"/>
  <c r="AA7" i="10"/>
  <c r="BA28" i="10"/>
  <c r="AZ30" i="10"/>
  <c r="BA39" i="10" s="1"/>
  <c r="BA45" i="10" s="1"/>
  <c r="C8" i="11"/>
  <c r="L16" i="11" s="1"/>
  <c r="W7" i="10"/>
  <c r="AU35" i="10"/>
  <c r="AV33" i="10" s="1"/>
  <c r="AU36" i="10"/>
  <c r="Y7" i="10"/>
  <c r="D8" i="11"/>
  <c r="M16" i="11" s="1"/>
  <c r="AD7" i="10" l="1"/>
  <c r="AU37" i="10"/>
  <c r="AV40" i="10" s="1"/>
  <c r="AV56" i="10" s="1"/>
  <c r="BA46" i="10"/>
  <c r="BA47" i="10"/>
  <c r="BA51" i="10" s="1"/>
  <c r="BA52" i="10" s="1"/>
  <c r="BA49" i="10"/>
  <c r="BB28" i="10"/>
  <c r="BA30" i="10"/>
  <c r="BB39" i="10" s="1"/>
  <c r="BB45" i="10" s="1"/>
  <c r="AZ51" i="10"/>
  <c r="AZ52" i="10" s="1"/>
  <c r="AV57" i="10"/>
  <c r="AV62" i="10" s="1"/>
  <c r="AV58" i="10"/>
  <c r="AV63" i="10" s="1"/>
  <c r="AV64" i="10" s="1"/>
  <c r="AV61" i="10"/>
  <c r="AV36" i="10"/>
  <c r="AV35" i="10"/>
  <c r="AW33" i="10" s="1"/>
  <c r="AV37" i="10"/>
  <c r="AW40" i="10" s="1"/>
  <c r="AW56" i="10" s="1"/>
  <c r="AZ50" i="10"/>
  <c r="BA50" i="10"/>
  <c r="AW57" i="10" l="1"/>
  <c r="AW62" i="10" s="1"/>
  <c r="AW58" i="10"/>
  <c r="AW63" i="10" s="1"/>
  <c r="AW64" i="10" s="1"/>
  <c r="BB47" i="10"/>
  <c r="BB46" i="10"/>
  <c r="BC28" i="10"/>
  <c r="BB30" i="10"/>
  <c r="BC39" i="10" s="1"/>
  <c r="BC45" i="10" s="1"/>
  <c r="BC49" i="10" s="1"/>
  <c r="AW61" i="10"/>
  <c r="AW35" i="10"/>
  <c r="AX33" i="10" s="1"/>
  <c r="AW36" i="10"/>
  <c r="BB49" i="10"/>
  <c r="AW37" i="10" l="1"/>
  <c r="AX40" i="10" s="1"/>
  <c r="AX56" i="10" s="1"/>
  <c r="AX57" i="10" s="1"/>
  <c r="AX62" i="10" s="1"/>
  <c r="BC46" i="10"/>
  <c r="BC50" i="10" s="1"/>
  <c r="BC47" i="10"/>
  <c r="BD28" i="10"/>
  <c r="BC30" i="10"/>
  <c r="BD39" i="10" s="1"/>
  <c r="BD45" i="10" s="1"/>
  <c r="BB50" i="10"/>
  <c r="AX36" i="10"/>
  <c r="AX35" i="10"/>
  <c r="AY33" i="10" s="1"/>
  <c r="AX37" i="10"/>
  <c r="AY40" i="10" s="1"/>
  <c r="AY56" i="10" s="1"/>
  <c r="AY61" i="10"/>
  <c r="BB51" i="10"/>
  <c r="BB52" i="10" s="1"/>
  <c r="AX61" i="10"/>
  <c r="AX58" i="10" l="1"/>
  <c r="AX63" i="10" s="1"/>
  <c r="AX64" i="10" s="1"/>
  <c r="BE28" i="10"/>
  <c r="BE30" i="10" s="1"/>
  <c r="BF39" i="10" s="1"/>
  <c r="BF45" i="10" s="1"/>
  <c r="BD30" i="10"/>
  <c r="BE39" i="10" s="1"/>
  <c r="BE45" i="10" s="1"/>
  <c r="AY58" i="10"/>
  <c r="AY63" i="10" s="1"/>
  <c r="AY64" i="10" s="1"/>
  <c r="AA11" i="10" s="1"/>
  <c r="AY57" i="10"/>
  <c r="AY62" i="10" s="1"/>
  <c r="BD46" i="10"/>
  <c r="BD47" i="10"/>
  <c r="W11" i="10"/>
  <c r="C9" i="11"/>
  <c r="AZ33" i="10"/>
  <c r="AY36" i="10"/>
  <c r="AY35" i="10"/>
  <c r="AZ35" i="10" s="1"/>
  <c r="BA35" i="10" s="1"/>
  <c r="BB35" i="10" s="1"/>
  <c r="BC35" i="10" s="1"/>
  <c r="BD35" i="10" s="1"/>
  <c r="BE35" i="10" s="1"/>
  <c r="AY37" i="10"/>
  <c r="AZ40" i="10" s="1"/>
  <c r="AZ56" i="10" s="1"/>
  <c r="BD49" i="10"/>
  <c r="BC51" i="10"/>
  <c r="BC52" i="10" s="1"/>
  <c r="AZ57" i="10" l="1"/>
  <c r="AZ61" i="10"/>
  <c r="AZ58" i="10"/>
  <c r="D9" i="11"/>
  <c r="Y11" i="10"/>
  <c r="AD11" i="10"/>
  <c r="BD51" i="10"/>
  <c r="BD52" i="10" s="1"/>
  <c r="BD50" i="10"/>
  <c r="BE46" i="10"/>
  <c r="BF50" i="10" s="1"/>
  <c r="BE47" i="10"/>
  <c r="BE51" i="10" s="1"/>
  <c r="BE52" i="10" s="1"/>
  <c r="BF49" i="10"/>
  <c r="BE49" i="10"/>
  <c r="BA33" i="10"/>
  <c r="AZ37" i="10"/>
  <c r="BA40" i="10" s="1"/>
  <c r="BA56" i="10" s="1"/>
  <c r="BF47" i="10"/>
  <c r="BF46" i="10"/>
  <c r="BE50" i="10" l="1"/>
  <c r="BA57" i="10"/>
  <c r="BA62" i="10" s="1"/>
  <c r="BA58" i="10"/>
  <c r="BA61" i="10"/>
  <c r="X7" i="10"/>
  <c r="F8" i="11"/>
  <c r="L21" i="11" s="1"/>
  <c r="Z7" i="10"/>
  <c r="G8" i="11"/>
  <c r="M21" i="11" s="1"/>
  <c r="BF51" i="10"/>
  <c r="BF52" i="10" s="1"/>
  <c r="AZ62" i="10"/>
  <c r="BB33" i="10"/>
  <c r="BA37" i="10"/>
  <c r="BB40" i="10" s="1"/>
  <c r="BB56" i="10" s="1"/>
  <c r="AZ63" i="10"/>
  <c r="AZ64" i="10" s="1"/>
  <c r="E9" i="11" s="1"/>
  <c r="BA63" i="10"/>
  <c r="BA64" i="10" s="1"/>
  <c r="BB57" i="10" l="1"/>
  <c r="BB58" i="10"/>
  <c r="BB61" i="10"/>
  <c r="BC33" i="10"/>
  <c r="BB37" i="10"/>
  <c r="BC40" i="10" s="1"/>
  <c r="BC56" i="10" s="1"/>
  <c r="AB7" i="10"/>
  <c r="AE7" i="10" s="1"/>
  <c r="AF7" i="10" s="1"/>
  <c r="H8" i="11"/>
  <c r="N21" i="11" s="1"/>
  <c r="BC58" i="10" l="1"/>
  <c r="BC57" i="10"/>
  <c r="BC62" i="10" s="1"/>
  <c r="BB63" i="10"/>
  <c r="BB64" i="10" s="1"/>
  <c r="BC63" i="10"/>
  <c r="BC64" i="10" s="1"/>
  <c r="BC37" i="10"/>
  <c r="BD40" i="10" s="1"/>
  <c r="BD56" i="10" s="1"/>
  <c r="BD33" i="10"/>
  <c r="BC61" i="10"/>
  <c r="BB62" i="10"/>
  <c r="BD61" i="10" l="1"/>
  <c r="BD58" i="10"/>
  <c r="BD57" i="10"/>
  <c r="BE33" i="10"/>
  <c r="BE37" i="10" s="1"/>
  <c r="BF40" i="10" s="1"/>
  <c r="BF56" i="10" s="1"/>
  <c r="BD37" i="10"/>
  <c r="BE40" i="10" s="1"/>
  <c r="BE56" i="10" s="1"/>
  <c r="BF57" i="10" l="1"/>
  <c r="BF58" i="10"/>
  <c r="BE57" i="10"/>
  <c r="BE62" i="10" s="1"/>
  <c r="BE58" i="10"/>
  <c r="BE63" i="10" s="1"/>
  <c r="BE64" i="10" s="1"/>
  <c r="BF61" i="10"/>
  <c r="BE61" i="10"/>
  <c r="BD62" i="10"/>
  <c r="BD63" i="10"/>
  <c r="BD64" i="10" s="1"/>
  <c r="BF62" i="10" l="1"/>
  <c r="G9" i="11"/>
  <c r="Z11" i="10"/>
  <c r="X11" i="10"/>
  <c r="F9" i="11"/>
  <c r="BF63" i="10"/>
  <c r="BF64" i="10" s="1"/>
  <c r="H9" i="11" l="1"/>
  <c r="AB11" i="10"/>
  <c r="AE11" i="10"/>
  <c r="AF1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<sst xmlns="http://schemas.openxmlformats.org/spreadsheetml/2006/main" count="865" uniqueCount="278">
  <si>
    <t>New Subscription Calls</t>
  </si>
  <si>
    <t>Date</t>
  </si>
  <si>
    <t>New Calls</t>
  </si>
  <si>
    <t>CMA-3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</si>
  <si>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</si>
  <si>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</si>
  <si>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</si>
  <si>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</si>
  <si>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</si>
  <si>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</si>
  <si>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</si>
  <si>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</si>
  <si>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CMA-7</t>
  </si>
  <si>
    <t>CMA-14</t>
  </si>
  <si>
    <t>Period</t>
  </si>
  <si>
    <t>Detrended Time Series</t>
  </si>
  <si>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</si>
  <si>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</si>
  <si>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</si>
  <si>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</si>
  <si>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</si>
  <si>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</si>
  <si>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</si>
  <si>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</si>
  <si>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</si>
  <si>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Seasonal Profile</t>
  </si>
  <si>
    <t>Adjusted Seasonal Profile</t>
  </si>
  <si>
    <t>Average Seasonal Indices</t>
  </si>
  <si>
    <t>Trend + Season</t>
  </si>
  <si>
    <t>Noise</t>
  </si>
  <si>
    <t>Reconstructed Time Series</t>
  </si>
  <si>
    <t>Actual Data</t>
  </si>
  <si>
    <t>Seasonal Naïve</t>
  </si>
  <si>
    <t>Actual Forecast (Seasonal Naïve)</t>
  </si>
  <si>
    <t>Forecast Error</t>
  </si>
  <si>
    <t>Absolute Error</t>
  </si>
  <si>
    <t>Squared Error</t>
  </si>
  <si>
    <t>Mean Error</t>
  </si>
  <si>
    <t>Mean Absolute Error</t>
  </si>
  <si>
    <t>Mean Squared Error</t>
  </si>
  <si>
    <t>Root Mean Squared Error</t>
  </si>
  <si>
    <t>Data Value</t>
  </si>
  <si>
    <t>Average Seasonal Model</t>
  </si>
  <si>
    <t>Actual Forecast (Average Seasonal Model)</t>
  </si>
  <si>
    <t>Level</t>
  </si>
  <si>
    <t>Weekly Average Level</t>
  </si>
  <si>
    <t>Moving Average-7 Level</t>
  </si>
  <si>
    <t>Indices</t>
  </si>
  <si>
    <t>Naïve Index on Average Level</t>
  </si>
  <si>
    <t>Average Index on Average Level</t>
  </si>
  <si>
    <t>Average Index on MA7 Level</t>
  </si>
  <si>
    <t>Naïve Index &amp; Weekly Average Level</t>
  </si>
  <si>
    <t>Average Index &amp; Average Level</t>
  </si>
  <si>
    <t>Average Index &amp; MA7 Level</t>
  </si>
  <si>
    <t>Actual Forecasts</t>
  </si>
  <si>
    <t>Actual Forecast (Naïve Index &amp; Weekly Average Level)</t>
  </si>
  <si>
    <t>Actual Forecast (Average Index &amp; Average Level)</t>
  </si>
  <si>
    <t>Actual Forecast (Average Index &amp; MA7 Level)</t>
  </si>
  <si>
    <t>Validation (Average Seasonal Model)</t>
  </si>
  <si>
    <t>Validation (Naïve Index &amp; Weekly Average Level)</t>
  </si>
  <si>
    <t>Validation (Average Index &amp; Average Level)</t>
  </si>
  <si>
    <t>Validation (Average Index &amp; MA7 Level)</t>
  </si>
  <si>
    <t>Season</t>
  </si>
  <si>
    <t>Trend</t>
  </si>
  <si>
    <t>Seasonal Exponential Smoothing</t>
  </si>
  <si>
    <t>Forecast</t>
  </si>
  <si>
    <t>Trend-Season Exponential Smoothing</t>
  </si>
  <si>
    <t>k</t>
  </si>
  <si>
    <t>Actual Forecast (Seasonal ES)</t>
  </si>
  <si>
    <t>Actual Forecast (Season-Trend ES)</t>
  </si>
  <si>
    <t>Validation (Seasonal ES)</t>
  </si>
  <si>
    <t>Validation (Season-Trend ES)</t>
  </si>
  <si>
    <t>Seed</t>
  </si>
  <si>
    <t>Number of Installations</t>
  </si>
  <si>
    <t>Probability</t>
  </si>
  <si>
    <t>Cum. Probability</t>
  </si>
  <si>
    <t>Cut-off</t>
  </si>
  <si>
    <t>Rand1</t>
  </si>
  <si>
    <t># of Installations</t>
  </si>
  <si>
    <t>Rand2</t>
  </si>
  <si>
    <t># of Boxes</t>
  </si>
  <si>
    <t>Total Boxes</t>
  </si>
  <si>
    <t>Ordering Cost</t>
  </si>
  <si>
    <t>Holding Cost</t>
  </si>
  <si>
    <t>Backorder Cost</t>
  </si>
  <si>
    <t>Initial Stock</t>
  </si>
  <si>
    <t>Inventory Balance</t>
  </si>
  <si>
    <t>Ordering</t>
  </si>
  <si>
    <t>Cost</t>
  </si>
  <si>
    <t>Beginning</t>
  </si>
  <si>
    <t>Ending</t>
  </si>
  <si>
    <t>Order</t>
  </si>
  <si>
    <t>Receive</t>
  </si>
  <si>
    <t>Holding</t>
  </si>
  <si>
    <t>Backorder</t>
  </si>
  <si>
    <t>Total</t>
  </si>
  <si>
    <t>Average Daily Cost</t>
  </si>
  <si>
    <t>Engineer/Customer</t>
  </si>
  <si>
    <t>Job 1</t>
  </si>
  <si>
    <t>Job 2</t>
  </si>
  <si>
    <t>Job 3</t>
  </si>
  <si>
    <t>Job 4</t>
  </si>
  <si>
    <t>Job 5</t>
  </si>
  <si>
    <t>Tom</t>
  </si>
  <si>
    <t>Bob</t>
  </si>
  <si>
    <t>Paul</t>
  </si>
  <si>
    <t>Steve</t>
  </si>
  <si>
    <t>Lucas</t>
  </si>
  <si>
    <t>Arrivals per Time Period</t>
  </si>
  <si>
    <t>Time Period per Arrival</t>
  </si>
  <si>
    <t>Arrivals per Hour</t>
  </si>
  <si>
    <t>Poisson Arrival Distribution</t>
  </si>
  <si>
    <t>Minutes Between Arrival</t>
  </si>
  <si>
    <t>Inter-arrival rate</t>
  </si>
  <si>
    <t>Wait Time</t>
  </si>
  <si>
    <t>Total Wait Time</t>
  </si>
  <si>
    <t>Average Wait Time</t>
  </si>
  <si>
    <t>Maximum Wait Time</t>
  </si>
  <si>
    <t>Service Rate</t>
  </si>
  <si>
    <t>Mean Service Time</t>
  </si>
  <si>
    <t>Vehicles</t>
  </si>
  <si>
    <t>Time between arrival</t>
  </si>
  <si>
    <t>Arrival Time</t>
  </si>
  <si>
    <t>Mechanic #</t>
  </si>
  <si>
    <t>Start Time</t>
  </si>
  <si>
    <t>Service Time</t>
  </si>
  <si>
    <t>Completion Time</t>
  </si>
  <si>
    <t>Idle 1</t>
  </si>
  <si>
    <t>Idle 2</t>
  </si>
  <si>
    <t>Vehicle (Poisson)</t>
  </si>
  <si>
    <t>Mechanic 1 (Exponential)</t>
  </si>
  <si>
    <t>Mechanic 2 (Exponential)</t>
  </si>
  <si>
    <t>Waiting</t>
  </si>
  <si>
    <t>Mechanic 1</t>
  </si>
  <si>
    <t>Total Idle Time</t>
  </si>
  <si>
    <t>Idle Time %</t>
  </si>
  <si>
    <t>Mechanic 2</t>
  </si>
  <si>
    <t>SUM</t>
  </si>
  <si>
    <t>ME (In)</t>
  </si>
  <si>
    <t>ME (Out)</t>
  </si>
  <si>
    <t>MAE (In)</t>
  </si>
  <si>
    <t>MAE (Out)</t>
  </si>
  <si>
    <t>RMSE (In)</t>
  </si>
  <si>
    <t>RMSE (Out)</t>
  </si>
  <si>
    <t>SUM (In)</t>
  </si>
  <si>
    <t>SUM (Out)</t>
  </si>
  <si>
    <t>In Sample Errors</t>
  </si>
  <si>
    <t>Out Sample Errors</t>
  </si>
  <si>
    <t>ME</t>
  </si>
  <si>
    <t>MAE</t>
  </si>
  <si>
    <t>RMSE</t>
  </si>
  <si>
    <t>Forecasting Model</t>
  </si>
  <si>
    <t>Seasonal Average</t>
  </si>
  <si>
    <t>Naive Index &amp; Weekly Average Level</t>
  </si>
  <si>
    <t>Demand Rate</t>
  </si>
  <si>
    <t>Economic Order Quantity</t>
  </si>
  <si>
    <t>Reorder Point (R)</t>
  </si>
  <si>
    <t>Reorder Quantty (Q)</t>
  </si>
  <si>
    <t>New Reorder Quantity</t>
  </si>
  <si>
    <t>Days</t>
  </si>
  <si>
    <t>Inventory Levels</t>
  </si>
  <si>
    <t>Reorder Point</t>
  </si>
  <si>
    <t>Demand</t>
  </si>
  <si>
    <t>Change</t>
  </si>
  <si>
    <t>Cummulative Demand Rate</t>
  </si>
  <si>
    <t>Bacorder Cost</t>
  </si>
  <si>
    <t>Total Cost</t>
  </si>
  <si>
    <t>Current</t>
  </si>
  <si>
    <t>Based on EOQ</t>
  </si>
  <si>
    <t>minutes</t>
  </si>
  <si>
    <t>Cumulative Demand Rate</t>
  </si>
  <si>
    <t>Current ROP</t>
  </si>
  <si>
    <t>ROP after EOQ</t>
  </si>
  <si>
    <r>
      <t>Seasonal Exp. Smoothing</t>
    </r>
    <r>
      <rPr>
        <sz val="12"/>
        <color theme="1"/>
        <rFont val="Calibri"/>
        <family val="2"/>
        <scheme val="minor"/>
      </rPr>
      <t xml:space="preserve"> (𝛼=0.30, 𝛾=0.35)</t>
    </r>
  </si>
  <si>
    <t>Mechanic-1 Servicing</t>
  </si>
  <si>
    <t>Mechanic-2 Servicing</t>
  </si>
  <si>
    <t>Mechanic-1 Idle</t>
  </si>
  <si>
    <t>Mechanic-2 Idle</t>
  </si>
  <si>
    <t>per hour</t>
  </si>
  <si>
    <t>Microsoft Excel 16.90 Answer Report</t>
  </si>
  <si>
    <t>Worksheet: [data-1.xlsx]S5-Linear Programming</t>
  </si>
  <si>
    <t>Report Created: 5/8/25 12:37:18 AM</t>
  </si>
  <si>
    <t>Result: Solver found a solution.  All constraints and optimality conditions are satisfied.</t>
  </si>
  <si>
    <t>Solver Engine</t>
  </si>
  <si>
    <t>Engine: GRG Nonlinear</t>
  </si>
  <si>
    <t>Solution Time: 30065461.409 Seconds.</t>
  </si>
  <si>
    <t>Iterations: 1 Subproblems: 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</si>
  <si>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</si>
  <si>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</si>
  <si>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</si>
  <si>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</si>
  <si>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</si>
  <si>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</si>
  <si>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</si>
  <si>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</si>
  <si>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</si>
  <si>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</si>
  <si>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</si>
  <si>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</si>
  <si>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</si>
  <si>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</si>
  <si>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</si>
  <si>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</si>
  <si>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$G$7</t>
  </si>
  <si>
    <t>$B$10</t>
  </si>
  <si>
    <t>Tom Job 1</t>
  </si>
  <si>
    <t>$C$10</t>
  </si>
  <si>
    <t>Tom Job 2</t>
  </si>
  <si>
    <t>$D$10</t>
  </si>
  <si>
    <t>Tom Job 3</t>
  </si>
  <si>
    <t>$E$10</t>
  </si>
  <si>
    <t>Tom Job 4</t>
  </si>
  <si>
    <t>$F$10</t>
  </si>
  <si>
    <t>Tom Job 5</t>
  </si>
  <si>
    <t>$B$11</t>
  </si>
  <si>
    <t>Bob Job 1</t>
  </si>
  <si>
    <t>$C$11</t>
  </si>
  <si>
    <t>Bob Job 2</t>
  </si>
  <si>
    <t>$D$11</t>
  </si>
  <si>
    <t>Bob Job 3</t>
  </si>
  <si>
    <t>$E$11</t>
  </si>
  <si>
    <t>Bob Job 4</t>
  </si>
  <si>
    <t>$F$11</t>
  </si>
  <si>
    <t>Bob Job 5</t>
  </si>
  <si>
    <t>$B$12</t>
  </si>
  <si>
    <t>Paul Job 1</t>
  </si>
  <si>
    <t>$C$12</t>
  </si>
  <si>
    <t>Paul Job 2</t>
  </si>
  <si>
    <t>$D$12</t>
  </si>
  <si>
    <t>Paul Job 3</t>
  </si>
  <si>
    <t>$E$12</t>
  </si>
  <si>
    <t>Paul Job 4</t>
  </si>
  <si>
    <t>$F$12</t>
  </si>
  <si>
    <t>Paul Job 5</t>
  </si>
  <si>
    <t>$B$13</t>
  </si>
  <si>
    <t>Steve Job 1</t>
  </si>
  <si>
    <t>$C$13</t>
  </si>
  <si>
    <t>Steve Job 2</t>
  </si>
  <si>
    <t>$D$13</t>
  </si>
  <si>
    <t>Steve Job 3</t>
  </si>
  <si>
    <t>$E$13</t>
  </si>
  <si>
    <t>Steve Job 4</t>
  </si>
  <si>
    <t>$F$13</t>
  </si>
  <si>
    <t>Steve Job 5</t>
  </si>
  <si>
    <t>$B$14</t>
  </si>
  <si>
    <t>Lucas Job 1</t>
  </si>
  <si>
    <t>$C$14</t>
  </si>
  <si>
    <t>Lucas Job 2</t>
  </si>
  <si>
    <t>$D$14</t>
  </si>
  <si>
    <t>Lucas Job 3</t>
  </si>
  <si>
    <t>$E$14</t>
  </si>
  <si>
    <t>Lucas Job 4</t>
  </si>
  <si>
    <t>$F$14</t>
  </si>
  <si>
    <t>Lucas Job 5</t>
  </si>
  <si>
    <t>$B$15</t>
  </si>
  <si>
    <t>$B$15=1</t>
  </si>
  <si>
    <t>Binding</t>
  </si>
  <si>
    <t>$C$15</t>
  </si>
  <si>
    <t>$C$15=1</t>
  </si>
  <si>
    <t>$D$15</t>
  </si>
  <si>
    <t>$D$15=1</t>
  </si>
  <si>
    <t>$E$15</t>
  </si>
  <si>
    <t>$E$15=1</t>
  </si>
  <si>
    <t>$F$15</t>
  </si>
  <si>
    <t>$F$15=1</t>
  </si>
  <si>
    <t>$B$10:$F$14=Binary</t>
  </si>
  <si>
    <t>Binary</t>
  </si>
  <si>
    <t>$B$10:$F$14</t>
  </si>
  <si>
    <t>$B$15:$F$15 = 1</t>
  </si>
  <si>
    <t>Season-Trend Exp. Smoothing (𝛼=0.50, 𝛽=0.20, 𝛾=0.60)</t>
  </si>
  <si>
    <t>Job Allocation</t>
  </si>
  <si>
    <t>Job2</t>
  </si>
  <si>
    <t>Job3</t>
  </si>
  <si>
    <t>Job4</t>
  </si>
  <si>
    <t>Total Distance Required</t>
  </si>
  <si>
    <t>Initial Total Distance</t>
  </si>
  <si>
    <t>Initial Job Allocation Distances</t>
  </si>
  <si>
    <t>Suggested Job Allocation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</si>
</sst>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0.00000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23"/>
      </top>
      <bottom/>
      <diagonal/>
    </border>
    <border>
      <left/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8">
    <xf numFmtId="0" fontId="0" fillId="0" borderId="0" xfId="0"/>
    <xf numFmtId="0" fontId="6" fillId="2" borderId="0" xfId="0" applyFont="1" applyFill="1"/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2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16" fontId="6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5" fontId="6" fillId="4" borderId="0" xfId="1" applyNumberFormat="1" applyFont="1" applyFill="1" applyBorder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 wrapText="1"/>
    </xf>
    <xf numFmtId="43" fontId="0" fillId="4" borderId="0" xfId="0" applyNumberFormat="1" applyFill="1" applyAlignment="1">
      <alignment horizontal="center" vertical="center" wrapText="1"/>
    </xf>
    <xf numFmtId="16" fontId="6" fillId="4" borderId="6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43" fontId="0" fillId="4" borderId="7" xfId="0" applyNumberFormat="1" applyFill="1" applyBorder="1" applyAlignment="1">
      <alignment horizontal="center" vertical="center" wrapText="1"/>
    </xf>
    <xf numFmtId="16" fontId="6" fillId="4" borderId="8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6" fillId="4" borderId="9" xfId="1" applyNumberFormat="1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  <xf numFmtId="16" fontId="6" fillId="4" borderId="0" xfId="0" applyNumberFormat="1" applyFont="1" applyFill="1" applyAlignment="1">
      <alignment horizontal="center" vertical="center"/>
    </xf>
    <xf numFmtId="165" fontId="6" fillId="4" borderId="0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2" fontId="0" fillId="4" borderId="7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6" fontId="6" fillId="4" borderId="9" xfId="0" applyNumberFormat="1" applyFont="1" applyFill="1" applyBorder="1" applyAlignment="1">
      <alignment horizontal="center" vertical="center"/>
    </xf>
    <xf numFmtId="165" fontId="6" fillId="4" borderId="9" xfId="1" applyNumberFormat="1" applyFon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16" fontId="6" fillId="4" borderId="9" xfId="0" applyNumberFormat="1" applyFont="1" applyFill="1" applyBorder="1" applyAlignment="1">
      <alignment horizontal="center" vertical="center" wrapText="1"/>
    </xf>
    <xf numFmtId="2" fontId="0" fillId="4" borderId="9" xfId="0" applyNumberForma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43" fontId="0" fillId="4" borderId="9" xfId="0" applyNumberFormat="1" applyFill="1" applyBorder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6" fontId="0" fillId="4" borderId="18" xfId="0" applyNumberFormat="1" applyFill="1" applyBorder="1" applyAlignment="1">
      <alignment horizontal="center" vertical="center" wrapText="1"/>
    </xf>
    <xf numFmtId="16" fontId="0" fillId="4" borderId="20" xfId="0" applyNumberFormat="1" applyFill="1" applyBorder="1" applyAlignment="1">
      <alignment horizontal="center" vertical="center" wrapText="1"/>
    </xf>
    <xf numFmtId="16" fontId="0" fillId="4" borderId="21" xfId="0" applyNumberFormat="1" applyFill="1" applyBorder="1" applyAlignment="1">
      <alignment horizontal="center" vertical="center" wrapText="1"/>
    </xf>
    <xf numFmtId="16" fontId="0" fillId="4" borderId="22" xfId="0" applyNumberFormat="1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16" fontId="0" fillId="5" borderId="18" xfId="0" applyNumberFormat="1" applyFill="1" applyBorder="1" applyAlignment="1">
      <alignment horizontal="center" vertical="center" wrapText="1"/>
    </xf>
    <xf numFmtId="16" fontId="0" fillId="5" borderId="19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166" fontId="0" fillId="6" borderId="18" xfId="0" applyNumberForma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166" fontId="0" fillId="6" borderId="0" xfId="0" applyNumberFormat="1" applyFill="1" applyAlignment="1">
      <alignment horizontal="center" vertical="center" wrapText="1"/>
    </xf>
    <xf numFmtId="166" fontId="0" fillId="6" borderId="9" xfId="0" applyNumberFormat="1" applyFill="1" applyBorder="1" applyAlignment="1">
      <alignment horizontal="center" vertical="center" wrapText="1"/>
    </xf>
    <xf numFmtId="166" fontId="0" fillId="7" borderId="9" xfId="0" applyNumberForma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166" fontId="9" fillId="3" borderId="14" xfId="0" applyNumberFormat="1" applyFont="1" applyFill="1" applyBorder="1" applyAlignment="1">
      <alignment horizontal="center" vertical="center"/>
    </xf>
    <xf numFmtId="166" fontId="9" fillId="3" borderId="15" xfId="0" applyNumberFormat="1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 wrapText="1"/>
    </xf>
    <xf numFmtId="1" fontId="0" fillId="6" borderId="0" xfId="0" applyNumberFormat="1" applyFill="1" applyAlignment="1">
      <alignment horizontal="center" vertical="center" wrapText="1"/>
    </xf>
    <xf numFmtId="1" fontId="0" fillId="6" borderId="9" xfId="0" applyNumberFormat="1" applyFill="1" applyBorder="1" applyAlignment="1">
      <alignment horizontal="center" vertical="center" wrapText="1"/>
    </xf>
    <xf numFmtId="1" fontId="0" fillId="6" borderId="18" xfId="0" applyNumberFormat="1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1" fontId="0" fillId="7" borderId="0" xfId="0" applyNumberFormat="1" applyFill="1" applyAlignment="1">
      <alignment horizontal="center" vertical="center" wrapText="1"/>
    </xf>
    <xf numFmtId="1" fontId="0" fillId="7" borderId="9" xfId="0" applyNumberFormat="1" applyFill="1" applyBorder="1" applyAlignment="1">
      <alignment horizontal="center" vertical="center" wrapText="1"/>
    </xf>
    <xf numFmtId="1" fontId="0" fillId="7" borderId="7" xfId="0" applyNumberFormat="1" applyFill="1" applyBorder="1" applyAlignment="1">
      <alignment horizontal="center" vertical="center" wrapText="1"/>
    </xf>
    <xf numFmtId="1" fontId="0" fillId="7" borderId="10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2" fontId="3" fillId="6" borderId="0" xfId="0" applyNumberFormat="1" applyFont="1" applyFill="1" applyAlignment="1">
      <alignment horizontal="center" vertical="center" wrapText="1"/>
    </xf>
    <xf numFmtId="2" fontId="3" fillId="6" borderId="7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2" fontId="3" fillId="6" borderId="9" xfId="0" applyNumberFormat="1" applyFont="1" applyFill="1" applyBorder="1" applyAlignment="1">
      <alignment horizontal="center" vertical="center" wrapText="1"/>
    </xf>
    <xf numFmtId="2" fontId="3" fillId="6" borderId="10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  <xf numFmtId="2" fontId="0" fillId="6" borderId="7" xfId="0" applyNumberFormat="1" applyFill="1" applyBorder="1" applyAlignment="1">
      <alignment horizontal="center" vertical="center" wrapText="1"/>
    </xf>
    <xf numFmtId="2" fontId="0" fillId="6" borderId="9" xfId="0" applyNumberFormat="1" applyFill="1" applyBorder="1" applyAlignment="1">
      <alignment horizontal="center" vertical="center" wrapText="1"/>
    </xf>
    <xf numFmtId="2" fontId="0" fillId="6" borderId="10" xfId="0" applyNumberForma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6" borderId="30" xfId="0" applyNumberFormat="1" applyFill="1" applyBorder="1" applyAlignment="1">
      <alignment horizontal="center" vertical="center" wrapText="1"/>
    </xf>
    <xf numFmtId="2" fontId="0" fillId="6" borderId="32" xfId="0" applyNumberFormat="1" applyFill="1" applyBorder="1" applyAlignment="1">
      <alignment horizontal="center" vertical="center" wrapText="1"/>
    </xf>
    <xf numFmtId="1" fontId="0" fillId="6" borderId="33" xfId="0" applyNumberFormat="1" applyFill="1" applyBorder="1" applyAlignment="1">
      <alignment horizontal="center" vertical="center" wrapText="1"/>
    </xf>
    <xf numFmtId="1" fontId="0" fillId="6" borderId="34" xfId="0" applyNumberForma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1" fontId="0" fillId="4" borderId="5" xfId="0" applyNumberFormat="1" applyFill="1" applyBorder="1" applyAlignment="1">
      <alignment horizontal="center" vertical="center" wrapText="1"/>
    </xf>
    <xf numFmtId="1" fontId="0" fillId="6" borderId="7" xfId="0" applyNumberForma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1" fontId="0" fillId="6" borderId="10" xfId="0" applyNumberFormat="1" applyFill="1" applyBorder="1" applyAlignment="1">
      <alignment horizontal="center" vertical="center" wrapText="1"/>
    </xf>
    <xf numFmtId="16" fontId="0" fillId="6" borderId="21" xfId="0" applyNumberFormat="1" applyFill="1" applyBorder="1" applyAlignment="1">
      <alignment horizontal="center" vertical="center" wrapText="1"/>
    </xf>
    <xf numFmtId="16" fontId="0" fillId="6" borderId="22" xfId="0" applyNumberFormat="1" applyFill="1" applyBorder="1" applyAlignment="1">
      <alignment horizontal="center" vertical="center" wrapText="1"/>
    </xf>
    <xf numFmtId="16" fontId="0" fillId="6" borderId="20" xfId="0" applyNumberForma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16" fontId="9" fillId="3" borderId="13" xfId="0" applyNumberFormat="1" applyFont="1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/>
    <xf numFmtId="2" fontId="0" fillId="4" borderId="14" xfId="0" applyNumberFormat="1" applyFill="1" applyBorder="1"/>
    <xf numFmtId="0" fontId="0" fillId="4" borderId="15" xfId="0" applyFill="1" applyBorder="1"/>
    <xf numFmtId="0" fontId="0" fillId="4" borderId="13" xfId="0" applyFill="1" applyBorder="1"/>
    <xf numFmtId="0" fontId="0" fillId="3" borderId="13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6" borderId="0" xfId="0" applyFill="1"/>
    <xf numFmtId="0" fontId="0" fillId="7" borderId="0" xfId="0" applyFill="1"/>
    <xf numFmtId="0" fontId="0" fillId="7" borderId="7" xfId="0" applyFill="1" applyBorder="1"/>
    <xf numFmtId="0" fontId="0" fillId="6" borderId="9" xfId="0" applyFill="1" applyBorder="1"/>
    <xf numFmtId="0" fontId="0" fillId="7" borderId="10" xfId="0" applyFill="1" applyBorder="1"/>
    <xf numFmtId="0" fontId="0" fillId="6" borderId="18" xfId="0" applyFill="1" applyBorder="1"/>
    <xf numFmtId="0" fontId="0" fillId="7" borderId="18" xfId="0" applyFill="1" applyBorder="1"/>
    <xf numFmtId="0" fontId="0" fillId="7" borderId="19" xfId="0" applyFill="1" applyBorder="1"/>
    <xf numFmtId="2" fontId="0" fillId="6" borderId="8" xfId="0" applyNumberFormat="1" applyFill="1" applyBorder="1"/>
    <xf numFmtId="2" fontId="0" fillId="6" borderId="10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2" fontId="0" fillId="6" borderId="9" xfId="0" applyNumberForma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16" fontId="6" fillId="6" borderId="1" xfId="0" applyNumberFormat="1" applyFont="1" applyFill="1" applyBorder="1" applyAlignment="1">
      <alignment horizontal="left"/>
    </xf>
    <xf numFmtId="165" fontId="6" fillId="6" borderId="1" xfId="1" applyNumberFormat="1" applyFont="1" applyFill="1" applyBorder="1" applyAlignment="1">
      <alignment horizontal="right"/>
    </xf>
    <xf numFmtId="0" fontId="0" fillId="6" borderId="2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67" fontId="0" fillId="6" borderId="6" xfId="0" applyNumberFormat="1" applyFill="1" applyBorder="1" applyAlignment="1">
      <alignment horizontal="center" vertical="center" wrapText="1"/>
    </xf>
    <xf numFmtId="167" fontId="0" fillId="6" borderId="0" xfId="0" applyNumberFormat="1" applyFill="1" applyAlignment="1">
      <alignment horizontal="center" vertical="center" wrapText="1"/>
    </xf>
    <xf numFmtId="167" fontId="0" fillId="6" borderId="8" xfId="0" applyNumberFormat="1" applyFill="1" applyBorder="1" applyAlignment="1">
      <alignment horizontal="center" vertical="center" wrapText="1"/>
    </xf>
    <xf numFmtId="167" fontId="0" fillId="6" borderId="9" xfId="0" applyNumberFormat="1" applyFill="1" applyBorder="1" applyAlignment="1">
      <alignment horizontal="center" vertical="center" wrapText="1"/>
    </xf>
    <xf numFmtId="0" fontId="0" fillId="3" borderId="2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5" xfId="0" applyFill="1" applyBorder="1"/>
    <xf numFmtId="0" fontId="0" fillId="6" borderId="22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25" xfId="0" applyFill="1" applyBorder="1"/>
    <xf numFmtId="0" fontId="0" fillId="6" borderId="21" xfId="0" applyFill="1" applyBorder="1"/>
    <xf numFmtId="0" fontId="0" fillId="6" borderId="24" xfId="0" applyFill="1" applyBorder="1"/>
    <xf numFmtId="0" fontId="0" fillId="6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10" fontId="0" fillId="6" borderId="10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2" fontId="5" fillId="6" borderId="7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66" fontId="0" fillId="7" borderId="19" xfId="0" applyNumberFormat="1" applyFill="1" applyBorder="1" applyAlignment="1">
      <alignment horizontal="center" vertical="center" wrapText="1"/>
    </xf>
    <xf numFmtId="166" fontId="0" fillId="7" borderId="0" xfId="0" applyNumberFormat="1" applyFill="1" applyAlignment="1">
      <alignment horizontal="center" vertical="center" wrapText="1"/>
    </xf>
    <xf numFmtId="166" fontId="0" fillId="7" borderId="7" xfId="0" applyNumberFormat="1" applyFill="1" applyBorder="1" applyAlignment="1">
      <alignment horizontal="center" vertical="center" wrapText="1"/>
    </xf>
    <xf numFmtId="166" fontId="0" fillId="7" borderId="10" xfId="0" applyNumberFormat="1" applyFill="1" applyBorder="1" applyAlignment="1">
      <alignment horizontal="center" vertical="center" wrapText="1"/>
    </xf>
    <xf numFmtId="166" fontId="0" fillId="6" borderId="0" xfId="0" applyNumberFormat="1" applyFill="1"/>
    <xf numFmtId="166" fontId="0" fillId="7" borderId="0" xfId="0" applyNumberFormat="1" applyFill="1"/>
    <xf numFmtId="166" fontId="0" fillId="6" borderId="9" xfId="0" applyNumberFormat="1" applyFill="1" applyBorder="1"/>
    <xf numFmtId="166" fontId="0" fillId="7" borderId="9" xfId="0" applyNumberFormat="1" applyFill="1" applyBorder="1"/>
    <xf numFmtId="166" fontId="0" fillId="6" borderId="18" xfId="0" applyNumberFormat="1" applyFill="1" applyBorder="1"/>
    <xf numFmtId="166" fontId="0" fillId="7" borderId="18" xfId="0" applyNumberFormat="1" applyFill="1" applyBorder="1"/>
    <xf numFmtId="166" fontId="0" fillId="7" borderId="19" xfId="0" applyNumberFormat="1" applyFill="1" applyBorder="1"/>
    <xf numFmtId="166" fontId="0" fillId="7" borderId="10" xfId="0" applyNumberFormat="1" applyFill="1" applyBorder="1"/>
    <xf numFmtId="166" fontId="0" fillId="7" borderId="7" xfId="0" applyNumberFormat="1" applyFill="1" applyBorder="1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6" fontId="0" fillId="6" borderId="7" xfId="0" applyNumberFormat="1" applyFill="1" applyBorder="1" applyAlignment="1">
      <alignment horizontal="center" vertical="center" wrapText="1"/>
    </xf>
    <xf numFmtId="0" fontId="9" fillId="0" borderId="0" xfId="0" applyFont="1"/>
    <xf numFmtId="0" fontId="2" fillId="4" borderId="1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8" xfId="0" applyFill="1" applyBorder="1"/>
    <xf numFmtId="0" fontId="0" fillId="6" borderId="10" xfId="0" applyFill="1" applyBorder="1"/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6" borderId="43" xfId="0" applyFill="1" applyBorder="1"/>
    <xf numFmtId="0" fontId="0" fillId="8" borderId="43" xfId="0" applyFill="1" applyBorder="1"/>
    <xf numFmtId="0" fontId="13" fillId="4" borderId="38" xfId="0" applyFont="1" applyFill="1" applyBorder="1" applyAlignment="1">
      <alignment horizontal="left"/>
    </xf>
    <xf numFmtId="0" fontId="12" fillId="4" borderId="42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46" xfId="0" applyFill="1" applyBorder="1"/>
    <xf numFmtId="0" fontId="0" fillId="6" borderId="47" xfId="0" applyFill="1" applyBorder="1"/>
    <xf numFmtId="0" fontId="0" fillId="8" borderId="46" xfId="0" applyFill="1" applyBorder="1"/>
    <xf numFmtId="0" fontId="0" fillId="8" borderId="47" xfId="0" applyFill="1" applyBorder="1"/>
    <xf numFmtId="0" fontId="0" fillId="6" borderId="48" xfId="0" applyFill="1" applyBorder="1"/>
    <xf numFmtId="0" fontId="0" fillId="6" borderId="49" xfId="0" applyFill="1" applyBorder="1"/>
    <xf numFmtId="0" fontId="0" fillId="6" borderId="50" xfId="0" applyFill="1" applyBorder="1"/>
    <xf numFmtId="0" fontId="0" fillId="4" borderId="43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4" borderId="49" xfId="0" applyFill="1" applyBorder="1"/>
    <xf numFmtId="0" fontId="0" fillId="4" borderId="50" xfId="0" applyFill="1" applyBorder="1"/>
    <xf numFmtId="0" fontId="9" fillId="6" borderId="0" xfId="0" applyFont="1" applyFill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DAAE5"/>
      <color rgb="FFE979E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 Centred</a:t>
            </a:r>
            <a:r>
              <a:rPr lang="en-US" b="1" baseline="0"/>
              <a:t> Moving Averages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'S2-Central Moving Average'!$C$1</c:f>
              <c:strCache>
                <c:ptCount val="1"/>
                <c:pt idx="0">
                  <c:v>New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'S2-Central Moving Average'!$A$2:$A$57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'S2-Central Moving Average'!$C$2:$C$57</c:f>
              <c:numCache>
                <c:formatCode>_-* #,##0_-;\-* #,##0_-;_-* "-"??_-;_-@_-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8-2B4E-8BFD-A6DB8D055670}"/>
            </c:ext>
          </c:extLst>
        </c:ser>
        <c:ser>
          <c:idx val="1"/>
          <c:order val="1"/>
          <c:tx>
            <c:strRef>
              <c:f>'S2-Central Moving Average'!$D$1</c:f>
              <c:strCache>
                <c:ptCount val="1"/>
                <c:pt idx="0">
                  <c:v>CMA-3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'S2-Central Moving Average'!$A$2:$A$57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'S2-Central Moving Average'!$D$2:$D$57</c:f>
              <c:numCache>
                <c:formatCode>_-* #,##0_-;\-* #,##0_-;_-* "-"??_-;_-@_-</c:formatCode>
                <c:ptCount val="56"/>
                <c:pt idx="1">
                  <c:v>1917.6666666666667</c:v>
                </c:pt>
                <c:pt idx="2">
                  <c:v>1935</c:v>
                </c:pt>
                <c:pt idx="3">
                  <c:v>1687</c:v>
                </c:pt>
                <c:pt idx="4">
                  <c:v>1474.3333333333333</c:v>
                </c:pt>
                <c:pt idx="5">
                  <c:v>1219.6666666666667</c:v>
                </c:pt>
                <c:pt idx="6">
                  <c:v>1328.6666666666667</c:v>
                </c:pt>
                <c:pt idx="7">
                  <c:v>1684</c:v>
                </c:pt>
                <c:pt idx="8">
                  <c:v>2058.6666666666665</c:v>
                </c:pt>
                <c:pt idx="9">
                  <c:v>2060</c:v>
                </c:pt>
                <c:pt idx="10">
                  <c:v>1746.3333333333333</c:v>
                </c:pt>
                <c:pt idx="11">
                  <c:v>1416.3333333333333</c:v>
                </c:pt>
                <c:pt idx="12">
                  <c:v>1138.3333333333333</c:v>
                </c:pt>
                <c:pt idx="13">
                  <c:v>1318.3333333333333</c:v>
                </c:pt>
                <c:pt idx="14">
                  <c:v>1574.6666666666667</c:v>
                </c:pt>
                <c:pt idx="15">
                  <c:v>1861</c:v>
                </c:pt>
                <c:pt idx="16">
                  <c:v>1904.6666666666667</c:v>
                </c:pt>
                <c:pt idx="17">
                  <c:v>1791.6666666666667</c:v>
                </c:pt>
                <c:pt idx="18">
                  <c:v>1490.6666666666667</c:v>
                </c:pt>
                <c:pt idx="19">
                  <c:v>1172.6666666666667</c:v>
                </c:pt>
                <c:pt idx="20">
                  <c:v>1337</c:v>
                </c:pt>
                <c:pt idx="21">
                  <c:v>1594.3333333333333</c:v>
                </c:pt>
                <c:pt idx="22">
                  <c:v>1924</c:v>
                </c:pt>
                <c:pt idx="23">
                  <c:v>1888</c:v>
                </c:pt>
                <c:pt idx="24">
                  <c:v>1888</c:v>
                </c:pt>
                <c:pt idx="25">
                  <c:v>1609.6666666666667</c:v>
                </c:pt>
                <c:pt idx="26">
                  <c:v>1366</c:v>
                </c:pt>
                <c:pt idx="27">
                  <c:v>1365</c:v>
                </c:pt>
                <c:pt idx="28">
                  <c:v>1541.6666666666667</c:v>
                </c:pt>
                <c:pt idx="29">
                  <c:v>1809</c:v>
                </c:pt>
                <c:pt idx="30">
                  <c:v>1810</c:v>
                </c:pt>
                <c:pt idx="31">
                  <c:v>1745.3333333333333</c:v>
                </c:pt>
                <c:pt idx="32">
                  <c:v>1433.3333333333333</c:v>
                </c:pt>
                <c:pt idx="33">
                  <c:v>1201.6666666666667</c:v>
                </c:pt>
                <c:pt idx="34">
                  <c:v>1650</c:v>
                </c:pt>
                <c:pt idx="35">
                  <c:v>2267.6666666666665</c:v>
                </c:pt>
                <c:pt idx="36">
                  <c:v>2931</c:v>
                </c:pt>
                <c:pt idx="37">
                  <c:v>2871</c:v>
                </c:pt>
                <c:pt idx="38">
                  <c:v>2713.6666666666665</c:v>
                </c:pt>
                <c:pt idx="39">
                  <c:v>2202</c:v>
                </c:pt>
                <c:pt idx="40">
                  <c:v>1885.3333333333333</c:v>
                </c:pt>
                <c:pt idx="41">
                  <c:v>2143</c:v>
                </c:pt>
                <c:pt idx="42">
                  <c:v>2430.6666666666665</c:v>
                </c:pt>
                <c:pt idx="43">
                  <c:v>2810.6666666666665</c:v>
                </c:pt>
                <c:pt idx="44">
                  <c:v>2847.6666666666665</c:v>
                </c:pt>
                <c:pt idx="45">
                  <c:v>2778</c:v>
                </c:pt>
                <c:pt idx="46">
                  <c:v>2395.6666666666665</c:v>
                </c:pt>
                <c:pt idx="47">
                  <c:v>1794</c:v>
                </c:pt>
                <c:pt idx="48">
                  <c:v>2036</c:v>
                </c:pt>
                <c:pt idx="49">
                  <c:v>2325</c:v>
                </c:pt>
                <c:pt idx="50">
                  <c:v>2862.3333333333335</c:v>
                </c:pt>
                <c:pt idx="51">
                  <c:v>2668.3333333333335</c:v>
                </c:pt>
                <c:pt idx="52">
                  <c:v>2769.3333333333335</c:v>
                </c:pt>
                <c:pt idx="53">
                  <c:v>2296.3333333333335</c:v>
                </c:pt>
                <c:pt idx="54">
                  <c:v>2055.3333333333335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8-2B4E-8BFD-A6DB8D055670}"/>
            </c:ext>
          </c:extLst>
        </c:ser>
        <c:ser>
          <c:idx val="2"/>
          <c:order val="2"/>
          <c:tx>
            <c:strRef>
              <c:f>'S2-Central Moving Average'!$E$1</c:f>
              <c:strCache>
                <c:ptCount val="1"/>
                <c:pt idx="0">
                  <c:v>CMA-7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'S2-Central Moving Average'!$A$2:$A$57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'S2-Central Moving Average'!$E$2:$E$57</c:f>
              <c:numCache>
                <c:formatCode>General</c:formatCode>
                <c:ptCount val="56"/>
                <c:pt idx="3" formatCode="_-* #,##0_-;\-* #,##0_-;_-* &quot;-&quot;??_-;_-@_-">
                  <c:v>1577.1428571428571</c:v>
                </c:pt>
                <c:pt idx="4" formatCode="_-* #,##0_-;\-* #,##0_-;_-* &quot;-&quot;??_-;_-@_-">
                  <c:v>1620.8571428571429</c:v>
                </c:pt>
                <c:pt idx="5" formatCode="_-* #,##0_-;\-* #,##0_-;_-* &quot;-&quot;??_-;_-@_-">
                  <c:v>1621.8571428571429</c:v>
                </c:pt>
                <c:pt idx="6" formatCode="_-* #,##0_-;\-* #,##0_-;_-* &quot;-&quot;??_-;_-@_-">
                  <c:v>1637.5714285714287</c:v>
                </c:pt>
                <c:pt idx="7" formatCode="_-* #,##0_-;\-* #,##0_-;_-* &quot;-&quot;??_-;_-@_-">
                  <c:v>1674.4285714285713</c:v>
                </c:pt>
                <c:pt idx="8" formatCode="_-* #,##0_-;\-* #,##0_-;_-* &quot;-&quot;??_-;_-@_-">
                  <c:v>1647.2857142857142</c:v>
                </c:pt>
                <c:pt idx="9" formatCode="_-* #,##0_-;\-* #,##0_-;_-* &quot;-&quot;??_-;_-@_-">
                  <c:v>1612.7142857142858</c:v>
                </c:pt>
                <c:pt idx="10" formatCode="_-* #,##0_-;\-* #,##0_-;_-* &quot;-&quot;??_-;_-@_-">
                  <c:v>1639.5714285714287</c:v>
                </c:pt>
                <c:pt idx="11" formatCode="_-* #,##0_-;\-* #,##0_-;_-* &quot;-&quot;??_-;_-@_-">
                  <c:v>1642.8571428571429</c:v>
                </c:pt>
                <c:pt idx="12" formatCode="_-* #,##0_-;\-* #,##0_-;_-* &quot;-&quot;??_-;_-@_-">
                  <c:v>1565.8571428571429</c:v>
                </c:pt>
                <c:pt idx="13" formatCode="_-* #,##0_-;\-* #,##0_-;_-* &quot;-&quot;??_-;_-@_-">
                  <c:v>1554.8571428571429</c:v>
                </c:pt>
                <c:pt idx="14" formatCode="_-* #,##0_-;\-* #,##0_-;_-* &quot;-&quot;??_-;_-@_-">
                  <c:v>1576.2857142857142</c:v>
                </c:pt>
                <c:pt idx="15" formatCode="_-* #,##0_-;\-* #,##0_-;_-* &quot;-&quot;??_-;_-@_-">
                  <c:v>1585.2857142857142</c:v>
                </c:pt>
                <c:pt idx="16" formatCode="_-* #,##0_-;\-* #,##0_-;_-* &quot;-&quot;??_-;_-@_-">
                  <c:v>1586.7142857142858</c:v>
                </c:pt>
                <c:pt idx="17" formatCode="_-* #,##0_-;\-* #,##0_-;_-* &quot;-&quot;??_-;_-@_-">
                  <c:v>1591</c:v>
                </c:pt>
                <c:pt idx="18" formatCode="_-* #,##0_-;\-* #,##0_-;_-* &quot;-&quot;??_-;_-@_-">
                  <c:v>1593.2857142857142</c:v>
                </c:pt>
                <c:pt idx="19" formatCode="_-* #,##0_-;\-* #,##0_-;_-* &quot;-&quot;??_-;_-@_-">
                  <c:v>1595.1428571428571</c:v>
                </c:pt>
                <c:pt idx="20" formatCode="_-* #,##0_-;\-* #,##0_-;_-* &quot;-&quot;??_-;_-@_-">
                  <c:v>1618</c:v>
                </c:pt>
                <c:pt idx="21" formatCode="_-* #,##0_-;\-* #,##0_-;_-* &quot;-&quot;??_-;_-@_-">
                  <c:v>1586.1428571428571</c:v>
                </c:pt>
                <c:pt idx="22" formatCode="_-* #,##0_-;\-* #,##0_-;_-* &quot;-&quot;??_-;_-@_-">
                  <c:v>1636.4285714285713</c:v>
                </c:pt>
                <c:pt idx="23" formatCode="_-* #,##0_-;\-* #,##0_-;_-* &quot;-&quot;??_-;_-@_-">
                  <c:v>1669</c:v>
                </c:pt>
                <c:pt idx="24" formatCode="_-* #,##0_-;\-* #,##0_-;_-* &quot;-&quot;??_-;_-@_-">
                  <c:v>1669</c:v>
                </c:pt>
                <c:pt idx="25" formatCode="_-* #,##0_-;\-* #,##0_-;_-* &quot;-&quot;??_-;_-@_-">
                  <c:v>1648.4285714285713</c:v>
                </c:pt>
                <c:pt idx="26" formatCode="_-* #,##0_-;\-* #,##0_-;_-* &quot;-&quot;??_-;_-@_-">
                  <c:v>1646.4285714285713</c:v>
                </c:pt>
                <c:pt idx="27" formatCode="_-* #,##0_-;\-* #,##0_-;_-* &quot;-&quot;??_-;_-@_-">
                  <c:v>1619.7142857142858</c:v>
                </c:pt>
                <c:pt idx="28" formatCode="_-* #,##0_-;\-* #,##0_-;_-* &quot;-&quot;??_-;_-@_-">
                  <c:v>1615</c:v>
                </c:pt>
                <c:pt idx="29" formatCode="_-* #,##0_-;\-* #,##0_-;_-* &quot;-&quot;??_-;_-@_-">
                  <c:v>1585.2857142857142</c:v>
                </c:pt>
                <c:pt idx="30" formatCode="_-* #,##0_-;\-* #,##0_-;_-* &quot;-&quot;??_-;_-@_-">
                  <c:v>1544.1428571428571</c:v>
                </c:pt>
                <c:pt idx="31" formatCode="_-* #,##0_-;\-* #,##0_-;_-* &quot;-&quot;??_-;_-@_-">
                  <c:v>1544.5714285714287</c:v>
                </c:pt>
                <c:pt idx="32" formatCode="_-* #,##0_-;\-* #,##0_-;_-* &quot;-&quot;??_-;_-@_-">
                  <c:v>1707.4285714285713</c:v>
                </c:pt>
                <c:pt idx="33" formatCode="_-* #,##0_-;\-* #,##0_-;_-* &quot;-&quot;??_-;_-@_-">
                  <c:v>1855.2857142857142</c:v>
                </c:pt>
                <c:pt idx="34" formatCode="_-* #,##0_-;\-* #,##0_-;_-* &quot;-&quot;??_-;_-@_-">
                  <c:v>2025.4285714285713</c:v>
                </c:pt>
                <c:pt idx="35" formatCode="_-* #,##0_-;\-* #,##0_-;_-* &quot;-&quot;??_-;_-@_-">
                  <c:v>2162.1428571428573</c:v>
                </c:pt>
                <c:pt idx="36" formatCode="_-* #,##0_-;\-* #,##0_-;_-* &quot;-&quot;??_-;_-@_-">
                  <c:v>2270.2857142857142</c:v>
                </c:pt>
                <c:pt idx="37" formatCode="_-* #,##0_-;\-* #,##0_-;_-* &quot;-&quot;??_-;_-@_-">
                  <c:v>2354.8571428571427</c:v>
                </c:pt>
                <c:pt idx="38" formatCode="_-* #,##0_-;\-* #,##0_-;_-* &quot;-&quot;??_-;_-@_-">
                  <c:v>2455.1428571428573</c:v>
                </c:pt>
                <c:pt idx="39" formatCode="_-* #,##0_-;\-* #,##0_-;_-* &quot;-&quot;??_-;_-@_-">
                  <c:v>2481.5714285714284</c:v>
                </c:pt>
                <c:pt idx="40" formatCode="_-* #,##0_-;\-* #,##0_-;_-* &quot;-&quot;??_-;_-@_-">
                  <c:v>2424.7142857142858</c:v>
                </c:pt>
                <c:pt idx="41" formatCode="_-* #,##0_-;\-* #,##0_-;_-* &quot;-&quot;??_-;_-@_-">
                  <c:v>2403.5714285714284</c:v>
                </c:pt>
                <c:pt idx="42" formatCode="_-* #,##0_-;\-* #,##0_-;_-* &quot;-&quot;??_-;_-@_-">
                  <c:v>2471.5714285714284</c:v>
                </c:pt>
                <c:pt idx="43" formatCode="_-* #,##0_-;\-* #,##0_-;_-* &quot;-&quot;??_-;_-@_-">
                  <c:v>2452.2857142857142</c:v>
                </c:pt>
                <c:pt idx="44" formatCode="_-* #,##0_-;\-* #,##0_-;_-* &quot;-&quot;??_-;_-@_-">
                  <c:v>2486.5714285714284</c:v>
                </c:pt>
                <c:pt idx="45" formatCode="_-* #,##0_-;\-* #,##0_-;_-* &quot;-&quot;??_-;_-@_-">
                  <c:v>2432.4285714285716</c:v>
                </c:pt>
                <c:pt idx="46" formatCode="_-* #,##0_-;\-* #,##0_-;_-* &quot;-&quot;??_-;_-@_-">
                  <c:v>2406.4285714285716</c:v>
                </c:pt>
                <c:pt idx="47" formatCode="_-* #,##0_-;\-* #,##0_-;_-* &quot;-&quot;??_-;_-@_-">
                  <c:v>2441.2857142857142</c:v>
                </c:pt>
                <c:pt idx="48" formatCode="_-* #,##0_-;\-* #,##0_-;_-* &quot;-&quot;??_-;_-@_-">
                  <c:v>2454.5714285714284</c:v>
                </c:pt>
                <c:pt idx="49" formatCode="_-* #,##0_-;\-* #,##0_-;_-* &quot;-&quot;??_-;_-@_-">
                  <c:v>2329.5714285714284</c:v>
                </c:pt>
                <c:pt idx="50" formatCode="_-* #,##0_-;\-* #,##0_-;_-* &quot;-&quot;??_-;_-@_-">
                  <c:v>2437.5714285714284</c:v>
                </c:pt>
                <c:pt idx="51" formatCode="_-* #,##0_-;\-* #,##0_-;_-* &quot;-&quot;??_-;_-@_-">
                  <c:v>2412</c:v>
                </c:pt>
                <c:pt idx="52" formatCode="_-* #,##0_-;\-* #,##0_-;_-* &quot;-&quot;??_-;_-@_-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8-2B4E-8BFD-A6DB8D055670}"/>
            </c:ext>
          </c:extLst>
        </c:ser>
        <c:ser>
          <c:idx val="3"/>
          <c:order val="3"/>
          <c:tx>
            <c:strRef>
              <c:f>'S2-Central Moving Average'!$F$1</c:f>
              <c:strCache>
                <c:ptCount val="1"/>
                <c:pt idx="0">
                  <c:v>CMA-14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'S2-Central Moving Average'!$A$2:$A$57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'S2-Central Moving Average'!$F$2:$F$57</c:f>
              <c:numCache>
                <c:formatCode>General</c:formatCode>
                <c:ptCount val="56"/>
                <c:pt idx="7" formatCode="_(* #,##0.00_);_(* \(#,##0.00\);_(* &quot;-&quot;??_);_(@_)">
                  <c:v>1620.1071428571429</c:v>
                </c:pt>
                <c:pt idx="8" formatCode="_(* #,##0.00_);_(* \(#,##0.00\);_(* &quot;-&quot;??_);_(@_)">
                  <c:v>1612.8571428571429</c:v>
                </c:pt>
                <c:pt idx="9" formatCode="_(* #,##0.00_);_(* \(#,##0.00\);_(* &quot;-&quot;??_);_(@_)">
                  <c:v>1595.0357142857142</c:v>
                </c:pt>
                <c:pt idx="10" formatCode="_(* #,##0.00_);_(* \(#,##0.00\);_(* &quot;-&quot;??_);_(@_)">
                  <c:v>1610.7857142857142</c:v>
                </c:pt>
                <c:pt idx="11" formatCode="_(* #,##0.00_);_(* \(#,##0.00\);_(* &quot;-&quot;??_);_(@_)">
                  <c:v>1620.8214285714287</c:v>
                </c:pt>
                <c:pt idx="12" formatCode="_(* #,##0.00_);_(* \(#,##0.00\);_(* &quot;-&quot;??_);_(@_)">
                  <c:v>1608</c:v>
                </c:pt>
                <c:pt idx="13" formatCode="_(* #,##0.00_);_(* \(#,##0.00\);_(* &quot;-&quot;??_);_(@_)">
                  <c:v>1607.5</c:v>
                </c:pt>
                <c:pt idx="14" formatCode="_(* #,##0.00_);_(* \(#,##0.00\);_(* &quot;-&quot;??_);_(@_)">
                  <c:v>1616.6785714285713</c:v>
                </c:pt>
                <c:pt idx="15" formatCode="_(* #,##0.00_);_(* \(#,##0.00\);_(* &quot;-&quot;??_);_(@_)">
                  <c:v>1599.2857142857142</c:v>
                </c:pt>
                <c:pt idx="16" formatCode="_(* #,##0.00_);_(* \(#,##0.00\);_(* &quot;-&quot;??_);_(@_)">
                  <c:v>1583.4642857142858</c:v>
                </c:pt>
                <c:pt idx="17" formatCode="_(* #,##0.00_);_(* \(#,##0.00\);_(* &quot;-&quot;??_);_(@_)">
                  <c:v>1583.8214285714287</c:v>
                </c:pt>
                <c:pt idx="18" formatCode="_(* #,##0.00_);_(* \(#,##0.00\);_(* &quot;-&quot;??_);_(@_)">
                  <c:v>1596.0357142857142</c:v>
                </c:pt>
                <c:pt idx="19" formatCode="_(* #,##0.00_);_(* \(#,##0.00\);_(* &quot;-&quot;??_);_(@_)">
                  <c:v>1619.3571428571429</c:v>
                </c:pt>
                <c:pt idx="20" formatCode="_(* #,##0.00_);_(* \(#,##0.00\);_(* &quot;-&quot;??_);_(@_)">
                  <c:v>1628.9285714285713</c:v>
                </c:pt>
                <c:pt idx="21" formatCode="_(* #,##0.00_);_(* \(#,##0.00\);_(* &quot;-&quot;??_);_(@_)">
                  <c:v>1625.4285714285713</c:v>
                </c:pt>
                <c:pt idx="22" formatCode="_(* #,##0.00_);_(* \(#,##0.00\);_(* &quot;-&quot;??_);_(@_)">
                  <c:v>1620.8214285714287</c:v>
                </c:pt>
                <c:pt idx="23" formatCode="_(* #,##0.00_);_(* \(#,##0.00\);_(* &quot;-&quot;??_);_(@_)">
                  <c:v>1619.8214285714287</c:v>
                </c:pt>
                <c:pt idx="24" formatCode="_(* #,##0.00_);_(* \(#,##0.00\);_(* &quot;-&quot;??_);_(@_)">
                  <c:v>1609.7142857142858</c:v>
                </c:pt>
                <c:pt idx="25" formatCode="_(* #,##0.00_);_(* \(#,##0.00\);_(* &quot;-&quot;??_);_(@_)">
                  <c:v>1605.7142857142858</c:v>
                </c:pt>
                <c:pt idx="26" formatCode="_(* #,##0.00_);_(* \(#,##0.00\);_(* &quot;-&quot;??_);_(@_)">
                  <c:v>1608.7142857142858</c:v>
                </c:pt>
                <c:pt idx="27" formatCode="_(* #,##0.00_);_(* \(#,##0.00\);_(* &quot;-&quot;??_);_(@_)">
                  <c:v>1606.6785714285713</c:v>
                </c:pt>
                <c:pt idx="28" formatCode="_(* #,##0.00_);_(* \(#,##0.00\);_(* &quot;-&quot;??_);_(@_)">
                  <c:v>1642.3571428571429</c:v>
                </c:pt>
                <c:pt idx="29" formatCode="_(* #,##0.00_);_(* \(#,##0.00\);_(* &quot;-&quot;??_);_(@_)">
                  <c:v>1714.3928571428571</c:v>
                </c:pt>
                <c:pt idx="30" formatCode="_(* #,##0.00_);_(* \(#,##0.00\);_(* &quot;-&quot;??_);_(@_)">
                  <c:v>1786.7142857142858</c:v>
                </c:pt>
                <c:pt idx="31" formatCode="_(* #,##0.00_);_(* \(#,##0.00\);_(* &quot;-&quot;??_);_(@_)">
                  <c:v>1855.5714285714287</c:v>
                </c:pt>
                <c:pt idx="32" formatCode="_(* #,##0.00_);_(* \(#,##0.00\);_(* &quot;-&quot;??_);_(@_)">
                  <c:v>1908.1785714285713</c:v>
                </c:pt>
                <c:pt idx="33" formatCode="_(* #,##0.00_);_(* \(#,##0.00\);_(* &quot;-&quot;??_);_(@_)">
                  <c:v>1938.6428571428571</c:v>
                </c:pt>
                <c:pt idx="34" formatCode="_(* #,##0.00_);_(* \(#,##0.00\);_(* &quot;-&quot;??_);_(@_)">
                  <c:v>1974.6785714285713</c:v>
                </c:pt>
                <c:pt idx="35" formatCode="_(* #,##0.00_);_(* \(#,##0.00\);_(* &quot;-&quot;??_);_(@_)">
                  <c:v>2047.1785714285713</c:v>
                </c:pt>
                <c:pt idx="36" formatCode="_(* #,##0.00_);_(* \(#,##0.00\);_(* &quot;-&quot;??_);_(@_)">
                  <c:v>2117.25</c:v>
                </c:pt>
                <c:pt idx="37" formatCode="_(* #,##0.00_);_(* \(#,##0.00\);_(* &quot;-&quot;??_);_(@_)">
                  <c:v>2177.25</c:v>
                </c:pt>
                <c:pt idx="38" formatCode="_(* #,##0.00_);_(* \(#,##0.00\);_(* &quot;-&quot;??_);_(@_)">
                  <c:v>2265.6785714285716</c:v>
                </c:pt>
                <c:pt idx="39" formatCode="_(* #,##0.00_);_(* \(#,##0.00\);_(* &quot;-&quot;??_);_(@_)">
                  <c:v>2339.0714285714284</c:v>
                </c:pt>
                <c:pt idx="40" formatCode="_(* #,##0.00_);_(* \(#,##0.00\);_(* &quot;-&quot;??_);_(@_)">
                  <c:v>2391</c:v>
                </c:pt>
                <c:pt idx="41" formatCode="_(* #,##0.00_);_(* \(#,##0.00\);_(* &quot;-&quot;??_);_(@_)">
                  <c:v>2432.25</c:v>
                </c:pt>
                <c:pt idx="42" formatCode="_(* #,##0.00_);_(* \(#,##0.00\);_(* &quot;-&quot;??_);_(@_)">
                  <c:v>2443.8928571428573</c:v>
                </c:pt>
                <c:pt idx="43" formatCode="_(* #,##0.00_);_(* \(#,##0.00\);_(* &quot;-&quot;??_);_(@_)">
                  <c:v>2438.5</c:v>
                </c:pt>
                <c:pt idx="44" formatCode="_(* #,##0.00_);_(* \(#,##0.00\);_(* &quot;-&quot;??_);_(@_)">
                  <c:v>2431.0357142857142</c:v>
                </c:pt>
                <c:pt idx="45" formatCode="_(* #,##0.00_);_(* \(#,##0.00\);_(* &quot;-&quot;??_);_(@_)">
                  <c:v>2414.8214285714284</c:v>
                </c:pt>
                <c:pt idx="46" formatCode="_(* #,##0.00_);_(* \(#,##0.00\);_(* &quot;-&quot;??_);_(@_)">
                  <c:v>2422.75</c:v>
                </c:pt>
                <c:pt idx="47" formatCode="_(* #,##0.00_);_(* \(#,##0.00\);_(* &quot;-&quot;??_);_(@_)">
                  <c:v>2447.1071428571427</c:v>
                </c:pt>
                <c:pt idx="48" formatCode="_(* #,##0.00_);_(* \(#,##0.00\);_(* &quot;-&quot;??_);_(@_)">
                  <c:v>2443.1428571428573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D8-2B4E-8BFD-A6DB8D055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74224"/>
        <c:axId val="1881785712"/>
      </c:lineChart>
      <c:dateAx>
        <c:axId val="18811742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785712"/>
        <c:crosses val="autoZero"/>
        <c:auto val="1"/>
        <c:lblOffset val="100"/>
        <c:baseTimeUnit val="days"/>
      </c:dateAx>
      <c:valAx>
        <c:axId val="18817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Centred Moving</a:t>
            </a:r>
            <a:r>
              <a:rPr lang="en-US" b="1" baseline="0"/>
              <a:t> Average - 7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'S2-Removing Trend'!$E$1:$E$4</c:f>
              <c:strCache>
                <c:ptCount val="4"/>
                <c:pt idx="0">
                  <c:v>CMA-7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'S2-Removing Trend'!$B$5:$B$57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'S2-Removing Trend'!$E$5:$E$57</c:f>
              <c:numCache>
                <c:formatCode>_-* #,##0_-;\-* #,##0_-;_-* "-"??_-;_-@_-</c:formatCode>
                <c:ptCount val="53"/>
                <c:pt idx="0">
                  <c:v>1577.1428571428571</c:v>
                </c:pt>
                <c:pt idx="1">
                  <c:v>1620.8571428571429</c:v>
                </c:pt>
                <c:pt idx="2">
                  <c:v>1621.8571428571429</c:v>
                </c:pt>
                <c:pt idx="3">
                  <c:v>1637.5714285714287</c:v>
                </c:pt>
                <c:pt idx="4">
                  <c:v>1674.4285714285713</c:v>
                </c:pt>
                <c:pt idx="5">
                  <c:v>1647.2857142857142</c:v>
                </c:pt>
                <c:pt idx="6">
                  <c:v>1612.7142857142858</c:v>
                </c:pt>
                <c:pt idx="7">
                  <c:v>1639.5714285714287</c:v>
                </c:pt>
                <c:pt idx="8">
                  <c:v>1642.8571428571429</c:v>
                </c:pt>
                <c:pt idx="9">
                  <c:v>1565.8571428571429</c:v>
                </c:pt>
                <c:pt idx="10">
                  <c:v>1554.8571428571429</c:v>
                </c:pt>
                <c:pt idx="11">
                  <c:v>1576.2857142857142</c:v>
                </c:pt>
                <c:pt idx="12">
                  <c:v>1585.2857142857142</c:v>
                </c:pt>
                <c:pt idx="13">
                  <c:v>1586.7142857142858</c:v>
                </c:pt>
                <c:pt idx="14">
                  <c:v>1591</c:v>
                </c:pt>
                <c:pt idx="15">
                  <c:v>1593.2857142857142</c:v>
                </c:pt>
                <c:pt idx="16">
                  <c:v>1595.1428571428571</c:v>
                </c:pt>
                <c:pt idx="17">
                  <c:v>1618</c:v>
                </c:pt>
                <c:pt idx="18">
                  <c:v>1586.1428571428571</c:v>
                </c:pt>
                <c:pt idx="19">
                  <c:v>1636.4285714285713</c:v>
                </c:pt>
                <c:pt idx="20">
                  <c:v>1669</c:v>
                </c:pt>
                <c:pt idx="21">
                  <c:v>1669</c:v>
                </c:pt>
                <c:pt idx="22">
                  <c:v>1648.4285714285713</c:v>
                </c:pt>
                <c:pt idx="23">
                  <c:v>1646.4285714285713</c:v>
                </c:pt>
                <c:pt idx="24">
                  <c:v>1619.7142857142858</c:v>
                </c:pt>
                <c:pt idx="25">
                  <c:v>1615</c:v>
                </c:pt>
                <c:pt idx="26">
                  <c:v>1585.2857142857142</c:v>
                </c:pt>
                <c:pt idx="27">
                  <c:v>1544.1428571428571</c:v>
                </c:pt>
                <c:pt idx="28">
                  <c:v>1544.5714285714287</c:v>
                </c:pt>
                <c:pt idx="29">
                  <c:v>1707.4285714285713</c:v>
                </c:pt>
                <c:pt idx="30">
                  <c:v>1855.2857142857142</c:v>
                </c:pt>
                <c:pt idx="31">
                  <c:v>2025.4285714285713</c:v>
                </c:pt>
                <c:pt idx="32">
                  <c:v>2162.1428571428573</c:v>
                </c:pt>
                <c:pt idx="33">
                  <c:v>2270.2857142857142</c:v>
                </c:pt>
                <c:pt idx="34">
                  <c:v>2354.8571428571427</c:v>
                </c:pt>
                <c:pt idx="35">
                  <c:v>2455.1428571428573</c:v>
                </c:pt>
                <c:pt idx="36">
                  <c:v>2481.5714285714284</c:v>
                </c:pt>
                <c:pt idx="37">
                  <c:v>2424.7142857142858</c:v>
                </c:pt>
                <c:pt idx="38">
                  <c:v>2403.5714285714284</c:v>
                </c:pt>
                <c:pt idx="39">
                  <c:v>2471.5714285714284</c:v>
                </c:pt>
                <c:pt idx="40">
                  <c:v>2452.2857142857142</c:v>
                </c:pt>
                <c:pt idx="41">
                  <c:v>2486.5714285714284</c:v>
                </c:pt>
                <c:pt idx="42">
                  <c:v>2432.4285714285716</c:v>
                </c:pt>
                <c:pt idx="43">
                  <c:v>2406.4285714285716</c:v>
                </c:pt>
                <c:pt idx="44">
                  <c:v>2441.2857142857142</c:v>
                </c:pt>
                <c:pt idx="45">
                  <c:v>2454.5714285714284</c:v>
                </c:pt>
                <c:pt idx="46">
                  <c:v>2329.5714285714284</c:v>
                </c:pt>
                <c:pt idx="47">
                  <c:v>2437.5714285714284</c:v>
                </c:pt>
                <c:pt idx="48">
                  <c:v>2412</c:v>
                </c:pt>
                <c:pt idx="49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8-9F45-9CE6-299E70319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583584"/>
        <c:axId val="467705759"/>
      </c:lineChart>
      <c:dateAx>
        <c:axId val="624583584"/>
        <c:scaling>
          <c:orientation val="minMax"/>
          <c:min val="4504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05759"/>
        <c:crosses val="autoZero"/>
        <c:auto val="1"/>
        <c:lblOffset val="100"/>
        <c:baseTimeUnit val="days"/>
      </c:dateAx>
      <c:valAx>
        <c:axId val="4677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'S2-Removing Trend'!$F$1:$F$4</c:f>
              <c:strCache>
                <c:ptCount val="4"/>
                <c:pt idx="0">
                  <c:v>Detrended Time Series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'S2-Removing Trend'!$B$5:$B$57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'S2-Removing Trend'!$F$5:$F$57</c:f>
              <c:numCache>
                <c:formatCode>0.00</c:formatCode>
                <c:ptCount val="53"/>
                <c:pt idx="0">
                  <c:v>50.85714285714289</c:v>
                </c:pt>
                <c:pt idx="1">
                  <c:v>-65.85714285714289</c:v>
                </c:pt>
                <c:pt idx="2">
                  <c:v>-381.85714285714289</c:v>
                </c:pt>
                <c:pt idx="3">
                  <c:v>-773.57142857142867</c:v>
                </c:pt>
                <c:pt idx="4">
                  <c:v>207.57142857142867</c:v>
                </c:pt>
                <c:pt idx="5">
                  <c:v>658.71428571428578</c:v>
                </c:pt>
                <c:pt idx="6">
                  <c:v>375.28571428571422</c:v>
                </c:pt>
                <c:pt idx="7">
                  <c:v>246.42857142857133</c:v>
                </c:pt>
                <c:pt idx="8">
                  <c:v>-277.85714285714289</c:v>
                </c:pt>
                <c:pt idx="9">
                  <c:v>-567.85714285714289</c:v>
                </c:pt>
                <c:pt idx="10">
                  <c:v>-502.85714285714289</c:v>
                </c:pt>
                <c:pt idx="11">
                  <c:v>328.71428571428578</c:v>
                </c:pt>
                <c:pt idx="12">
                  <c:v>181.71428571428578</c:v>
                </c:pt>
                <c:pt idx="13">
                  <c:v>324.28571428571422</c:v>
                </c:pt>
                <c:pt idx="14">
                  <c:v>445</c:v>
                </c:pt>
                <c:pt idx="15">
                  <c:v>-165.28571428571422</c:v>
                </c:pt>
                <c:pt idx="16">
                  <c:v>-587.14285714285711</c:v>
                </c:pt>
                <c:pt idx="17">
                  <c:v>-536</c:v>
                </c:pt>
                <c:pt idx="18">
                  <c:v>334.85714285714289</c:v>
                </c:pt>
                <c:pt idx="19">
                  <c:v>143.57142857142867</c:v>
                </c:pt>
                <c:pt idx="20">
                  <c:v>402</c:v>
                </c:pt>
                <c:pt idx="21">
                  <c:v>144</c:v>
                </c:pt>
                <c:pt idx="22">
                  <c:v>131.57142857142867</c:v>
                </c:pt>
                <c:pt idx="23">
                  <c:v>-410.42857142857133</c:v>
                </c:pt>
                <c:pt idx="24">
                  <c:v>-537.71428571428578</c:v>
                </c:pt>
                <c:pt idx="25">
                  <c:v>162</c:v>
                </c:pt>
                <c:pt idx="26">
                  <c:v>180.71428571428578</c:v>
                </c:pt>
                <c:pt idx="27">
                  <c:v>339.85714285714289</c:v>
                </c:pt>
                <c:pt idx="28">
                  <c:v>235.42857142857133</c:v>
                </c:pt>
                <c:pt idx="29">
                  <c:v>-135.42857142857133</c:v>
                </c:pt>
                <c:pt idx="30">
                  <c:v>-907.28571428571422</c:v>
                </c:pt>
                <c:pt idx="31">
                  <c:v>-940.42857142857133</c:v>
                </c:pt>
                <c:pt idx="32">
                  <c:v>754.85714285714266</c:v>
                </c:pt>
                <c:pt idx="33">
                  <c:v>530.71428571428578</c:v>
                </c:pt>
                <c:pt idx="34">
                  <c:v>720.14285714285734</c:v>
                </c:pt>
                <c:pt idx="35">
                  <c:v>281.85714285714266</c:v>
                </c:pt>
                <c:pt idx="36">
                  <c:v>-152.57142857142844</c:v>
                </c:pt>
                <c:pt idx="37">
                  <c:v>-884.71428571428578</c:v>
                </c:pt>
                <c:pt idx="38">
                  <c:v>-616.57142857142844</c:v>
                </c:pt>
                <c:pt idx="39">
                  <c:v>630.42857142857156</c:v>
                </c:pt>
                <c:pt idx="40">
                  <c:v>-49.285714285714221</c:v>
                </c:pt>
                <c:pt idx="41">
                  <c:v>440.42857142857156</c:v>
                </c:pt>
                <c:pt idx="42">
                  <c:v>780.57142857142844</c:v>
                </c:pt>
                <c:pt idx="43">
                  <c:v>-212.42857142857156</c:v>
                </c:pt>
                <c:pt idx="44">
                  <c:v>-661.28571428571422</c:v>
                </c:pt>
                <c:pt idx="45">
                  <c:v>-1046.5714285714284</c:v>
                </c:pt>
                <c:pt idx="46">
                  <c:v>590.42857142857156</c:v>
                </c:pt>
                <c:pt idx="47">
                  <c:v>209.42857142857156</c:v>
                </c:pt>
                <c:pt idx="48">
                  <c:v>608</c:v>
                </c:pt>
                <c:pt idx="49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2-5C43-9D2E-1F79CE267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697951"/>
        <c:axId val="2099977583"/>
      </c:lineChart>
      <c:dateAx>
        <c:axId val="2099697951"/>
        <c:scaling>
          <c:orientation val="minMax"/>
          <c:max val="45102"/>
          <c:min val="4504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77583"/>
        <c:crossesAt val="-1500"/>
        <c:auto val="1"/>
        <c:lblOffset val="100"/>
        <c:baseTimeUnit val="days"/>
      </c:dateAx>
      <c:valAx>
        <c:axId val="209997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9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Seasonality Identification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'S2-Seasonality Identification'!$J$3</c:f>
              <c:strCache>
                <c:ptCount val="1"/>
                <c:pt idx="0">
                  <c:v>Week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Identification'!$J$4:$J$10</c:f>
              <c:numCache>
                <c:formatCode>General</c:formatCode>
                <c:ptCount val="7"/>
                <c:pt idx="3" formatCode="0.00">
                  <c:v>50.85714285714289</c:v>
                </c:pt>
                <c:pt idx="4" formatCode="0.00">
                  <c:v>-65.85714285714289</c:v>
                </c:pt>
                <c:pt idx="5" formatCode="0.00">
                  <c:v>-381.85714285714289</c:v>
                </c:pt>
                <c:pt idx="6" formatCode="0.00">
                  <c:v>-773.57142857142867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7-7244-8B35-6D08721D63D2}"/>
            </c:ext>
          </c:extLst>
        </c:ser>
        <c:ser>
          <c:idx val="1"/>
          <c:order val="1"/>
          <c:tx>
            <c:strRef>
              <c:f>'S2-Seasonality Identification'!$K$3</c:f>
              <c:strCache>
                <c:ptCount val="1"/>
                <c:pt idx="0">
                  <c:v>Week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Identification'!$K$4:$K$10</c:f>
              <c:numCache>
                <c:formatCode>0.00</c:formatCode>
                <c:ptCount val="7"/>
                <c:pt idx="0">
                  <c:v>207.57142857142867</c:v>
                </c:pt>
                <c:pt idx="1">
                  <c:v>658.71428571428578</c:v>
                </c:pt>
                <c:pt idx="2">
                  <c:v>375.28571428571422</c:v>
                </c:pt>
                <c:pt idx="3">
                  <c:v>246.42857142857133</c:v>
                </c:pt>
                <c:pt idx="4">
                  <c:v>-277.85714285714289</c:v>
                </c:pt>
                <c:pt idx="5">
                  <c:v>-567.85714285714289</c:v>
                </c:pt>
                <c:pt idx="6">
                  <c:v>-502.85714285714289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7-7244-8B35-6D08721D63D2}"/>
            </c:ext>
          </c:extLst>
        </c:ser>
        <c:ser>
          <c:idx val="2"/>
          <c:order val="2"/>
          <c:tx>
            <c:strRef>
              <c:f>'S2-Seasonality Identification'!$L$3</c:f>
              <c:strCache>
                <c:ptCount val="1"/>
                <c:pt idx="0">
                  <c:v>Week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Identification'!$L$4:$L$10</c:f>
              <c:numCache>
                <c:formatCode>0.00</c:formatCode>
                <c:ptCount val="7"/>
                <c:pt idx="0">
                  <c:v>328.71428571428578</c:v>
                </c:pt>
                <c:pt idx="1">
                  <c:v>181.71428571428578</c:v>
                </c:pt>
                <c:pt idx="2">
                  <c:v>324.28571428571422</c:v>
                </c:pt>
                <c:pt idx="3">
                  <c:v>445</c:v>
                </c:pt>
                <c:pt idx="4">
                  <c:v>-165.28571428571422</c:v>
                </c:pt>
                <c:pt idx="5">
                  <c:v>-587.14285714285711</c:v>
                </c:pt>
                <c:pt idx="6">
                  <c:v>-536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47-7244-8B35-6D08721D63D2}"/>
            </c:ext>
          </c:extLst>
        </c:ser>
        <c:ser>
          <c:idx val="3"/>
          <c:order val="3"/>
          <c:tx>
            <c:strRef>
              <c:f>'S2-Seasonality Identification'!$M$3</c:f>
              <c:strCache>
                <c:ptCount val="1"/>
                <c:pt idx="0">
                  <c:v>Week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Identification'!$M$4:$M$10</c:f>
              <c:numCache>
                <c:formatCode>0.00</c:formatCode>
                <c:ptCount val="7"/>
                <c:pt idx="0">
                  <c:v>334.85714285714289</c:v>
                </c:pt>
                <c:pt idx="1">
                  <c:v>143.57142857142867</c:v>
                </c:pt>
                <c:pt idx="2">
                  <c:v>402</c:v>
                </c:pt>
                <c:pt idx="3">
                  <c:v>144</c:v>
                </c:pt>
                <c:pt idx="4">
                  <c:v>131.57142857142867</c:v>
                </c:pt>
                <c:pt idx="5">
                  <c:v>-410.42857142857133</c:v>
                </c:pt>
                <c:pt idx="6">
                  <c:v>-537.71428571428578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47-7244-8B35-6D08721D63D2}"/>
            </c:ext>
          </c:extLst>
        </c:ser>
        <c:ser>
          <c:idx val="4"/>
          <c:order val="4"/>
          <c:tx>
            <c:strRef>
              <c:f>'S2-Seasonality Identification'!$N$3</c:f>
              <c:strCache>
                <c:ptCount val="1"/>
                <c:pt idx="0">
                  <c:v>Week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Identification'!$N$4:$N$10</c:f>
              <c:numCache>
                <c:formatCode>0.00</c:formatCode>
                <c:ptCount val="7"/>
                <c:pt idx="0">
                  <c:v>162</c:v>
                </c:pt>
                <c:pt idx="1">
                  <c:v>180.71428571428578</c:v>
                </c:pt>
                <c:pt idx="2">
                  <c:v>339.85714285714289</c:v>
                </c:pt>
                <c:pt idx="3">
                  <c:v>235.42857142857133</c:v>
                </c:pt>
                <c:pt idx="4">
                  <c:v>-135.42857142857133</c:v>
                </c:pt>
                <c:pt idx="5">
                  <c:v>-907.28571428571422</c:v>
                </c:pt>
                <c:pt idx="6">
                  <c:v>-940.42857142857133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47-7244-8B35-6D08721D63D2}"/>
            </c:ext>
          </c:extLst>
        </c:ser>
        <c:ser>
          <c:idx val="5"/>
          <c:order val="5"/>
          <c:tx>
            <c:strRef>
              <c:f>'S2-Seasonality Identification'!$O$3</c:f>
              <c:strCache>
                <c:ptCount val="1"/>
                <c:pt idx="0">
                  <c:v>Week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Identification'!$O$4:$O$10</c:f>
              <c:numCache>
                <c:formatCode>0.00</c:formatCode>
                <c:ptCount val="7"/>
                <c:pt idx="0">
                  <c:v>754.85714285714266</c:v>
                </c:pt>
                <c:pt idx="1">
                  <c:v>530.71428571428578</c:v>
                </c:pt>
                <c:pt idx="2">
                  <c:v>720.14285714285734</c:v>
                </c:pt>
                <c:pt idx="3">
                  <c:v>281.85714285714266</c:v>
                </c:pt>
                <c:pt idx="4">
                  <c:v>-152.57142857142844</c:v>
                </c:pt>
                <c:pt idx="5">
                  <c:v>-884.71428571428578</c:v>
                </c:pt>
                <c:pt idx="6">
                  <c:v>-616.57142857142844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47-7244-8B35-6D08721D63D2}"/>
            </c:ext>
          </c:extLst>
        </c:ser>
        <c:ser>
          <c:idx val="6"/>
          <c:order val="6"/>
          <c:tx>
            <c:strRef>
              <c:f>'S2-Seasonality Identification'!$P$3</c:f>
              <c:strCache>
                <c:ptCount val="1"/>
                <c:pt idx="0">
                  <c:v>Week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Identification'!$P$4:$P$10</c:f>
              <c:numCache>
                <c:formatCode>0.00</c:formatCode>
                <c:ptCount val="7"/>
                <c:pt idx="0">
                  <c:v>630.42857142857156</c:v>
                </c:pt>
                <c:pt idx="1">
                  <c:v>-49.285714285714221</c:v>
                </c:pt>
                <c:pt idx="2">
                  <c:v>440.42857142857156</c:v>
                </c:pt>
                <c:pt idx="3">
                  <c:v>780.57142857142844</c:v>
                </c:pt>
                <c:pt idx="4">
                  <c:v>-212.42857142857156</c:v>
                </c:pt>
                <c:pt idx="5">
                  <c:v>-661.28571428571422</c:v>
                </c:pt>
                <c:pt idx="6">
                  <c:v>-1046.5714285714284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47-7244-8B35-6D08721D63D2}"/>
            </c:ext>
          </c:extLst>
        </c:ser>
        <c:ser>
          <c:idx val="7"/>
          <c:order val="7"/>
          <c:tx>
            <c:strRef>
              <c:f>'S2-Seasonality Identification'!$Q$3</c:f>
              <c:strCache>
                <c:ptCount val="1"/>
                <c:pt idx="0">
                  <c:v>Week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'S2-Seasonality Identification'!$I$4:$I$10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'S2-Seasonality Identification'!$Q$4:$Q$10</c:f>
              <c:numCache>
                <c:formatCode>0.00</c:formatCode>
                <c:ptCount val="7"/>
                <c:pt idx="0">
                  <c:v>590.42857142857156</c:v>
                </c:pt>
                <c:pt idx="1">
                  <c:v>209.42857142857156</c:v>
                </c:pt>
                <c:pt idx="2">
                  <c:v>608</c:v>
                </c:pt>
                <c:pt idx="3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47-7244-8B35-6D08721D6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807055"/>
        <c:axId val="491163984"/>
      </c:lineChart>
      <c:catAx>
        <c:axId val="46580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63984"/>
        <c:crossesAt val="-1500"/>
        <c:auto val="1"/>
        <c:lblAlgn val="ctr"/>
        <c:lblOffset val="100"/>
        <c:noMultiLvlLbl val="0"/>
      </c:catAx>
      <c:valAx>
        <c:axId val="4911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0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Seasonal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'S2-Estimated Seasonal Pattern'!$B$1</c:f>
              <c:strCache>
                <c:ptCount val="1"/>
                <c:pt idx="0">
                  <c:v>Week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Pattern'!$B$2:$B$8</c:f>
              <c:numCache>
                <c:formatCode>0.00</c:formatCode>
                <c:ptCount val="7"/>
                <c:pt idx="3">
                  <c:v>50.85714285714289</c:v>
                </c:pt>
                <c:pt idx="4">
                  <c:v>-65.85714285714289</c:v>
                </c:pt>
                <c:pt idx="5">
                  <c:v>-381.85714285714289</c:v>
                </c:pt>
                <c:pt idx="6">
                  <c:v>-773.57142857142867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A-904F-BA57-E0BA368A440E}"/>
            </c:ext>
          </c:extLst>
        </c:ser>
        <c:ser>
          <c:idx val="1"/>
          <c:order val="1"/>
          <c:tx>
            <c:strRef>
              <c:f>'S2-Estimated Seasonal Pattern'!$C$1</c:f>
              <c:strCache>
                <c:ptCount val="1"/>
                <c:pt idx="0">
                  <c:v>Week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Pattern'!$C$2:$C$8</c:f>
              <c:numCache>
                <c:formatCode>0.00</c:formatCode>
                <c:ptCount val="7"/>
                <c:pt idx="0">
                  <c:v>207.57142857142867</c:v>
                </c:pt>
                <c:pt idx="1">
                  <c:v>658.71428571428578</c:v>
                </c:pt>
                <c:pt idx="2">
                  <c:v>375.28571428571422</c:v>
                </c:pt>
                <c:pt idx="3">
                  <c:v>246.42857142857133</c:v>
                </c:pt>
                <c:pt idx="4">
                  <c:v>-277.85714285714289</c:v>
                </c:pt>
                <c:pt idx="5">
                  <c:v>-567.85714285714289</c:v>
                </c:pt>
                <c:pt idx="6">
                  <c:v>-502.85714285714289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A-904F-BA57-E0BA368A440E}"/>
            </c:ext>
          </c:extLst>
        </c:ser>
        <c:ser>
          <c:idx val="2"/>
          <c:order val="2"/>
          <c:tx>
            <c:strRef>
              <c:f>'S2-Estimated Seasonal Pattern'!$D$1</c:f>
              <c:strCache>
                <c:ptCount val="1"/>
                <c:pt idx="0">
                  <c:v>Week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Pattern'!$D$2:$D$8</c:f>
              <c:numCache>
                <c:formatCode>0.00</c:formatCode>
                <c:ptCount val="7"/>
                <c:pt idx="0">
                  <c:v>328.71428571428578</c:v>
                </c:pt>
                <c:pt idx="1">
                  <c:v>181.71428571428578</c:v>
                </c:pt>
                <c:pt idx="2">
                  <c:v>324.28571428571422</c:v>
                </c:pt>
                <c:pt idx="3">
                  <c:v>445</c:v>
                </c:pt>
                <c:pt idx="4">
                  <c:v>-165.28571428571422</c:v>
                </c:pt>
                <c:pt idx="5">
                  <c:v>-587.14285714285711</c:v>
                </c:pt>
                <c:pt idx="6">
                  <c:v>-536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A-904F-BA57-E0BA368A440E}"/>
            </c:ext>
          </c:extLst>
        </c:ser>
        <c:ser>
          <c:idx val="3"/>
          <c:order val="3"/>
          <c:tx>
            <c:strRef>
              <c:f>'S2-Estimated Seasonal Pattern'!$E$1</c:f>
              <c:strCache>
                <c:ptCount val="1"/>
                <c:pt idx="0">
                  <c:v>Week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Pattern'!$E$2:$E$8</c:f>
              <c:numCache>
                <c:formatCode>0.00</c:formatCode>
                <c:ptCount val="7"/>
                <c:pt idx="0">
                  <c:v>334.85714285714289</c:v>
                </c:pt>
                <c:pt idx="1">
                  <c:v>143.57142857142867</c:v>
                </c:pt>
                <c:pt idx="2">
                  <c:v>402</c:v>
                </c:pt>
                <c:pt idx="3">
                  <c:v>144</c:v>
                </c:pt>
                <c:pt idx="4">
                  <c:v>131.57142857142867</c:v>
                </c:pt>
                <c:pt idx="5">
                  <c:v>-410.42857142857133</c:v>
                </c:pt>
                <c:pt idx="6">
                  <c:v>-537.71428571428578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A-904F-BA57-E0BA368A440E}"/>
            </c:ext>
          </c:extLst>
        </c:ser>
        <c:ser>
          <c:idx val="4"/>
          <c:order val="4"/>
          <c:tx>
            <c:strRef>
              <c:f>'S2-Estimated Seasonal Pattern'!$F$1</c:f>
              <c:strCache>
                <c:ptCount val="1"/>
                <c:pt idx="0">
                  <c:v>Week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Pattern'!$F$2:$F$8</c:f>
              <c:numCache>
                <c:formatCode>0.00</c:formatCode>
                <c:ptCount val="7"/>
                <c:pt idx="0">
                  <c:v>162</c:v>
                </c:pt>
                <c:pt idx="1">
                  <c:v>180.71428571428578</c:v>
                </c:pt>
                <c:pt idx="2">
                  <c:v>339.85714285714289</c:v>
                </c:pt>
                <c:pt idx="3">
                  <c:v>235.42857142857133</c:v>
                </c:pt>
                <c:pt idx="4">
                  <c:v>-135.42857142857133</c:v>
                </c:pt>
                <c:pt idx="5">
                  <c:v>-907.28571428571422</c:v>
                </c:pt>
                <c:pt idx="6">
                  <c:v>-940.42857142857133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A-904F-BA57-E0BA368A440E}"/>
            </c:ext>
          </c:extLst>
        </c:ser>
        <c:ser>
          <c:idx val="5"/>
          <c:order val="5"/>
          <c:tx>
            <c:strRef>
              <c:f>'S2-Estimated Seasonal Pattern'!$G$1</c:f>
              <c:strCache>
                <c:ptCount val="1"/>
                <c:pt idx="0">
                  <c:v>Week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Pattern'!$G$2:$G$8</c:f>
              <c:numCache>
                <c:formatCode>0.00</c:formatCode>
                <c:ptCount val="7"/>
                <c:pt idx="0">
                  <c:v>754.85714285714266</c:v>
                </c:pt>
                <c:pt idx="1">
                  <c:v>530.71428571428578</c:v>
                </c:pt>
                <c:pt idx="2">
                  <c:v>720.14285714285734</c:v>
                </c:pt>
                <c:pt idx="3">
                  <c:v>281.85714285714266</c:v>
                </c:pt>
                <c:pt idx="4">
                  <c:v>-152.57142857142844</c:v>
                </c:pt>
                <c:pt idx="5">
                  <c:v>-884.71428571428578</c:v>
                </c:pt>
                <c:pt idx="6">
                  <c:v>-616.57142857142844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A-904F-BA57-E0BA368A440E}"/>
            </c:ext>
          </c:extLst>
        </c:ser>
        <c:ser>
          <c:idx val="6"/>
          <c:order val="6"/>
          <c:tx>
            <c:strRef>
              <c:f>'S2-Estimated Seasonal Pattern'!$H$1</c:f>
              <c:strCache>
                <c:ptCount val="1"/>
                <c:pt idx="0">
                  <c:v>Week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Pattern'!$H$2:$H$8</c:f>
              <c:numCache>
                <c:formatCode>0.00</c:formatCode>
                <c:ptCount val="7"/>
                <c:pt idx="0">
                  <c:v>630.42857142857156</c:v>
                </c:pt>
                <c:pt idx="1">
                  <c:v>-49.285714285714221</c:v>
                </c:pt>
                <c:pt idx="2">
                  <c:v>440.42857142857156</c:v>
                </c:pt>
                <c:pt idx="3">
                  <c:v>780.57142857142844</c:v>
                </c:pt>
                <c:pt idx="4">
                  <c:v>-212.42857142857156</c:v>
                </c:pt>
                <c:pt idx="5">
                  <c:v>-661.28571428571422</c:v>
                </c:pt>
                <c:pt idx="6">
                  <c:v>-1046.5714285714284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A-904F-BA57-E0BA368A440E}"/>
            </c:ext>
          </c:extLst>
        </c:ser>
        <c:ser>
          <c:idx val="7"/>
          <c:order val="7"/>
          <c:tx>
            <c:strRef>
              <c:f>'S2-Estimated Seasonal Pattern'!$I$1</c:f>
              <c:strCache>
                <c:ptCount val="1"/>
                <c:pt idx="0">
                  <c:v>Week 8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'S2-Estimated Seasonal Pattern'!$A$2:$A$8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'S2-Estimated Seasonal Pattern'!$I$2:$I$8</c:f>
              <c:numCache>
                <c:formatCode>0.00</c:formatCode>
                <c:ptCount val="7"/>
                <c:pt idx="0">
                  <c:v>590.42857142857156</c:v>
                </c:pt>
                <c:pt idx="1">
                  <c:v>209.42857142857156</c:v>
                </c:pt>
                <c:pt idx="2">
                  <c:v>608</c:v>
                </c:pt>
                <c:pt idx="3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A-904F-BA57-E0BA368A440E}"/>
            </c:ext>
          </c:extLst>
        </c:ser>
        <c:ser>
          <c:idx val="8"/>
          <c:order val="8"/>
          <c:tx>
            <c:strRef>
              <c:f>'S2-Estimated Seasonal Pattern'!$M$3</c:f>
              <c:strCache>
                <c:ptCount val="1"/>
                <c:pt idx="0">
                  <c:v>Seasonal Profile</c:v>
                </c:pt>
              </c:strCache>
            </c:strRef>
          </c:tx>
          <c:spPr>
            <a:ln w="476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'S2-Estimated Seasonal Pattern'!$M$4:$M$10</c:f>
              <c:numCache>
                <c:formatCode>0.00</c:formatCode>
                <c:ptCount val="7"/>
                <c:pt idx="0">
                  <c:v>429.83673469387759</c:v>
                </c:pt>
                <c:pt idx="1">
                  <c:v>265.08163265306132</c:v>
                </c:pt>
                <c:pt idx="2">
                  <c:v>458.57142857142856</c:v>
                </c:pt>
                <c:pt idx="3">
                  <c:v>260.07142857142856</c:v>
                </c:pt>
                <c:pt idx="4">
                  <c:v>-125.4081632653061</c:v>
                </c:pt>
                <c:pt idx="5">
                  <c:v>-628.65306122448976</c:v>
                </c:pt>
                <c:pt idx="6">
                  <c:v>-707.67346938775506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A-904F-BA57-E0BA368A4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576416"/>
        <c:axId val="100478271"/>
      </c:lineChart>
      <c:catAx>
        <c:axId val="32457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78271"/>
        <c:crosses val="autoZero"/>
        <c:auto val="1"/>
        <c:lblAlgn val="ctr"/>
        <c:lblOffset val="100"/>
        <c:noMultiLvlLbl val="0"/>
      </c:catAx>
      <c:valAx>
        <c:axId val="1004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7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'S2-Noise and Irregularities'!$H$1:$H$4</c:f>
              <c:strCache>
                <c:ptCount val="4"/>
                <c:pt idx="0">
                  <c:v>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'S2-Noise and Irregularities'!$B$5:$B$57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'S2-Noise and Irregularities'!$H$5:$H$57</c:f>
              <c:numCache>
                <c:formatCode>0.00</c:formatCode>
                <c:ptCount val="53"/>
                <c:pt idx="0">
                  <c:v>-209.21428571428578</c:v>
                </c:pt>
                <c:pt idx="1">
                  <c:v>59.55102040816314</c:v>
                </c:pt>
                <c:pt idx="2">
                  <c:v>246.79591836734687</c:v>
                </c:pt>
                <c:pt idx="3">
                  <c:v>-65.897959183673606</c:v>
                </c:pt>
                <c:pt idx="4">
                  <c:v>-222.26530612244915</c:v>
                </c:pt>
                <c:pt idx="5">
                  <c:v>393.63265306122457</c:v>
                </c:pt>
                <c:pt idx="6">
                  <c:v>-83.285714285714221</c:v>
                </c:pt>
                <c:pt idx="7">
                  <c:v>-13.642857142857338</c:v>
                </c:pt>
                <c:pt idx="8">
                  <c:v>-152.44897959183686</c:v>
                </c:pt>
                <c:pt idx="9">
                  <c:v>60.795918367346871</c:v>
                </c:pt>
                <c:pt idx="10">
                  <c:v>204.81632653061217</c:v>
                </c:pt>
                <c:pt idx="11">
                  <c:v>-101.12244897959181</c:v>
                </c:pt>
                <c:pt idx="12">
                  <c:v>-83.367346938775427</c:v>
                </c:pt>
                <c:pt idx="13">
                  <c:v>-134.28571428571422</c:v>
                </c:pt>
                <c:pt idx="14">
                  <c:v>184.92857142857156</c:v>
                </c:pt>
                <c:pt idx="15">
                  <c:v>-39.877551020408191</c:v>
                </c:pt>
                <c:pt idx="16">
                  <c:v>41.510204081632651</c:v>
                </c:pt>
                <c:pt idx="17">
                  <c:v>171.67346938775506</c:v>
                </c:pt>
                <c:pt idx="18">
                  <c:v>-94.979591836734699</c:v>
                </c:pt>
                <c:pt idx="19">
                  <c:v>-121.51020408163276</c:v>
                </c:pt>
                <c:pt idx="20">
                  <c:v>-56.571428571428442</c:v>
                </c:pt>
                <c:pt idx="21">
                  <c:v>-116.07142857142844</c:v>
                </c:pt>
                <c:pt idx="22">
                  <c:v>256.9795918367347</c:v>
                </c:pt>
                <c:pt idx="23">
                  <c:v>218.22448979591843</c:v>
                </c:pt>
                <c:pt idx="24">
                  <c:v>169.95918367346928</c:v>
                </c:pt>
                <c:pt idx="25">
                  <c:v>-267.83673469387759</c:v>
                </c:pt>
                <c:pt idx="26">
                  <c:v>-84.367346938775427</c:v>
                </c:pt>
                <c:pt idx="27">
                  <c:v>-118.71428571428578</c:v>
                </c:pt>
                <c:pt idx="28">
                  <c:v>-24.642857142857338</c:v>
                </c:pt>
                <c:pt idx="29">
                  <c:v>-10.020408163265301</c:v>
                </c:pt>
                <c:pt idx="30">
                  <c:v>-278.63265306122457</c:v>
                </c:pt>
                <c:pt idx="31">
                  <c:v>-232.75510204081638</c:v>
                </c:pt>
                <c:pt idx="32">
                  <c:v>325.02040816326507</c:v>
                </c:pt>
                <c:pt idx="33">
                  <c:v>265.63265306122457</c:v>
                </c:pt>
                <c:pt idx="34">
                  <c:v>261.5714285714289</c:v>
                </c:pt>
                <c:pt idx="35">
                  <c:v>21.785714285714221</c:v>
                </c:pt>
                <c:pt idx="36">
                  <c:v>-27.163265306122412</c:v>
                </c:pt>
                <c:pt idx="37">
                  <c:v>-256.06122448979613</c:v>
                </c:pt>
                <c:pt idx="38">
                  <c:v>91.102040816326735</c:v>
                </c:pt>
                <c:pt idx="39">
                  <c:v>200.59183673469397</c:v>
                </c:pt>
                <c:pt idx="40">
                  <c:v>-314.36734693877543</c:v>
                </c:pt>
                <c:pt idx="41">
                  <c:v>-18.142857142856883</c:v>
                </c:pt>
                <c:pt idx="42">
                  <c:v>520.5</c:v>
                </c:pt>
                <c:pt idx="43">
                  <c:v>-87.020408163265529</c:v>
                </c:pt>
                <c:pt idx="44">
                  <c:v>-32.632653061224573</c:v>
                </c:pt>
                <c:pt idx="45">
                  <c:v>-338.89795918367327</c:v>
                </c:pt>
                <c:pt idx="46">
                  <c:v>160.59183673469397</c:v>
                </c:pt>
                <c:pt idx="47">
                  <c:v>-55.653061224489647</c:v>
                </c:pt>
                <c:pt idx="48">
                  <c:v>149.42857142857156</c:v>
                </c:pt>
                <c:pt idx="49">
                  <c:v>-363.64285714285688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B-3740-BFC3-AEEAC42D6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604671"/>
        <c:axId val="624375232"/>
      </c:lineChart>
      <c:dateAx>
        <c:axId val="46860467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75232"/>
        <c:crossesAt val="-500"/>
        <c:auto val="1"/>
        <c:lblOffset val="100"/>
        <c:baseTimeUnit val="days"/>
      </c:dateAx>
      <c:valAx>
        <c:axId val="6243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Original VS Reconstructed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'S2-Noise and Irregularities'!$D$1</c:f>
              <c:strCache>
                <c:ptCount val="1"/>
                <c:pt idx="0">
                  <c:v>New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'S2-Noise and Irregularities'!$B$2:$B$57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'S2-Noise and Irregularities'!$D$2:$D$57</c:f>
              <c:numCache>
                <c:formatCode>_-* #,##0_-;\-* #,##0_-;_-* "-"??_-;_-@_-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1-6A46-88FF-3ABC33B74B41}"/>
            </c:ext>
          </c:extLst>
        </c:ser>
        <c:ser>
          <c:idx val="1"/>
          <c:order val="1"/>
          <c:tx>
            <c:strRef>
              <c:f>'S2-Noise and Irregularities'!$G$1</c:f>
              <c:strCache>
                <c:ptCount val="1"/>
                <c:pt idx="0">
                  <c:v>Trend + Season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'S2-Noise and Irregularities'!$B$2:$B$57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'S2-Noise and Irregularities'!$G$2:$G$57</c:f>
              <c:numCache>
                <c:formatCode>General</c:formatCode>
                <c:ptCount val="56"/>
                <c:pt idx="3" formatCode="_(* #,##0.00_);_(* \(#,##0.00\);_(* &quot;-&quot;??_);_(@_)">
                  <c:v>1837.2142857142858</c:v>
                </c:pt>
                <c:pt idx="4" formatCode="_(* #,##0.00_);_(* \(#,##0.00\);_(* &quot;-&quot;??_);_(@_)">
                  <c:v>1495.4489795918369</c:v>
                </c:pt>
                <c:pt idx="5" formatCode="_(* #,##0.00_);_(* \(#,##0.00\);_(* &quot;-&quot;??_);_(@_)">
                  <c:v>993.20408163265313</c:v>
                </c:pt>
                <c:pt idx="6" formatCode="_(* #,##0.00_);_(* \(#,##0.00\);_(* &quot;-&quot;??_);_(@_)">
                  <c:v>929.89795918367361</c:v>
                </c:pt>
                <c:pt idx="7" formatCode="_(* #,##0.00_);_(* \(#,##0.00\);_(* &quot;-&quot;??_);_(@_)">
                  <c:v>2104.2653061224491</c:v>
                </c:pt>
                <c:pt idx="8" formatCode="_(* #,##0.00_);_(* \(#,##0.00\);_(* &quot;-&quot;??_);_(@_)">
                  <c:v>1912.3673469387754</c:v>
                </c:pt>
                <c:pt idx="9" formatCode="_(* #,##0.00_);_(* \(#,##0.00\);_(* &quot;-&quot;??_);_(@_)">
                  <c:v>2071.2857142857142</c:v>
                </c:pt>
                <c:pt idx="10" formatCode="_(* #,##0.00_);_(* \(#,##0.00\);_(* &quot;-&quot;??_);_(@_)">
                  <c:v>1899.6428571428573</c:v>
                </c:pt>
                <c:pt idx="11" formatCode="_(* #,##0.00_);_(* \(#,##0.00\);_(* &quot;-&quot;??_);_(@_)">
                  <c:v>1517.4489795918369</c:v>
                </c:pt>
                <c:pt idx="12" formatCode="_(* #,##0.00_);_(* \(#,##0.00\);_(* &quot;-&quot;??_);_(@_)">
                  <c:v>937.20408163265313</c:v>
                </c:pt>
                <c:pt idx="13" formatCode="_(* #,##0.00_);_(* \(#,##0.00\);_(* &quot;-&quot;??_);_(@_)">
                  <c:v>847.18367346938783</c:v>
                </c:pt>
                <c:pt idx="14" formatCode="_(* #,##0.00_);_(* \(#,##0.00\);_(* &quot;-&quot;??_);_(@_)">
                  <c:v>2006.1224489795918</c:v>
                </c:pt>
                <c:pt idx="15" formatCode="_(* #,##0.00_);_(* \(#,##0.00\);_(* &quot;-&quot;??_);_(@_)">
                  <c:v>1850.3673469387754</c:v>
                </c:pt>
                <c:pt idx="16" formatCode="_(* #,##0.00_);_(* \(#,##0.00\);_(* &quot;-&quot;??_);_(@_)">
                  <c:v>2045.2857142857142</c:v>
                </c:pt>
                <c:pt idx="17" formatCode="_(* #,##0.00_);_(* \(#,##0.00\);_(* &quot;-&quot;??_);_(@_)">
                  <c:v>1851.0714285714284</c:v>
                </c:pt>
                <c:pt idx="18" formatCode="_(* #,##0.00_);_(* \(#,##0.00\);_(* &quot;-&quot;??_);_(@_)">
                  <c:v>1467.8775510204082</c:v>
                </c:pt>
                <c:pt idx="19" formatCode="_(* #,##0.00_);_(* \(#,##0.00\);_(* &quot;-&quot;??_);_(@_)">
                  <c:v>966.48979591836735</c:v>
                </c:pt>
                <c:pt idx="20" formatCode="_(* #,##0.00_);_(* \(#,##0.00\);_(* &quot;-&quot;??_);_(@_)">
                  <c:v>910.32653061224494</c:v>
                </c:pt>
                <c:pt idx="21" formatCode="_(* #,##0.00_);_(* \(#,##0.00\);_(* &quot;-&quot;??_);_(@_)">
                  <c:v>2015.9795918367347</c:v>
                </c:pt>
                <c:pt idx="22" formatCode="_(* #,##0.00_);_(* \(#,##0.00\);_(* &quot;-&quot;??_);_(@_)">
                  <c:v>1901.5102040816328</c:v>
                </c:pt>
                <c:pt idx="23" formatCode="_(* #,##0.00_);_(* \(#,##0.00\);_(* &quot;-&quot;??_);_(@_)">
                  <c:v>2127.5714285714284</c:v>
                </c:pt>
                <c:pt idx="24" formatCode="_(* #,##0.00_);_(* \(#,##0.00\);_(* &quot;-&quot;??_);_(@_)">
                  <c:v>1929.0714285714284</c:v>
                </c:pt>
                <c:pt idx="25" formatCode="_(* #,##0.00_);_(* \(#,##0.00\);_(* &quot;-&quot;??_);_(@_)">
                  <c:v>1523.0204081632653</c:v>
                </c:pt>
                <c:pt idx="26" formatCode="_(* #,##0.00_);_(* \(#,##0.00\);_(* &quot;-&quot;??_);_(@_)">
                  <c:v>1017.7755102040816</c:v>
                </c:pt>
                <c:pt idx="27" formatCode="_(* #,##0.00_);_(* \(#,##0.00\);_(* &quot;-&quot;??_);_(@_)">
                  <c:v>912.04081632653072</c:v>
                </c:pt>
                <c:pt idx="28" formatCode="_(* #,##0.00_);_(* \(#,##0.00\);_(* &quot;-&quot;??_);_(@_)">
                  <c:v>2044.8367346938776</c:v>
                </c:pt>
                <c:pt idx="29" formatCode="_(* #,##0.00_);_(* \(#,##0.00\);_(* &quot;-&quot;??_);_(@_)">
                  <c:v>1850.3673469387754</c:v>
                </c:pt>
                <c:pt idx="30" formatCode="_(* #,##0.00_);_(* \(#,##0.00\);_(* &quot;-&quot;??_);_(@_)">
                  <c:v>2002.7142857142858</c:v>
                </c:pt>
                <c:pt idx="31" formatCode="_(* #,##0.00_);_(* \(#,##0.00\);_(* &quot;-&quot;??_);_(@_)">
                  <c:v>1804.6428571428573</c:v>
                </c:pt>
                <c:pt idx="32" formatCode="_(* #,##0.00_);_(* \(#,##0.00\);_(* &quot;-&quot;??_);_(@_)">
                  <c:v>1582.0204081632653</c:v>
                </c:pt>
                <c:pt idx="33" formatCode="_(* #,##0.00_);_(* \(#,##0.00\);_(* &quot;-&quot;??_);_(@_)">
                  <c:v>1226.6326530612246</c:v>
                </c:pt>
                <c:pt idx="34" formatCode="_(* #,##0.00_);_(* \(#,##0.00\);_(* &quot;-&quot;??_);_(@_)">
                  <c:v>1317.7551020408164</c:v>
                </c:pt>
                <c:pt idx="35" formatCode="_(* #,##0.00_);_(* \(#,##0.00\);_(* &quot;-&quot;??_);_(@_)">
                  <c:v>2591.9795918367349</c:v>
                </c:pt>
                <c:pt idx="36" formatCode="_(* #,##0.00_);_(* \(#,##0.00\);_(* &quot;-&quot;??_);_(@_)">
                  <c:v>2535.3673469387754</c:v>
                </c:pt>
                <c:pt idx="37" formatCode="_(* #,##0.00_);_(* \(#,##0.00\);_(* &quot;-&quot;??_);_(@_)">
                  <c:v>2813.4285714285711</c:v>
                </c:pt>
                <c:pt idx="38" formatCode="_(* #,##0.00_);_(* \(#,##0.00\);_(* &quot;-&quot;??_);_(@_)">
                  <c:v>2715.2142857142858</c:v>
                </c:pt>
                <c:pt idx="39" formatCode="_(* #,##0.00_);_(* \(#,##0.00\);_(* &quot;-&quot;??_);_(@_)">
                  <c:v>2356.1632653061224</c:v>
                </c:pt>
                <c:pt idx="40" formatCode="_(* #,##0.00_);_(* \(#,##0.00\);_(* &quot;-&quot;??_);_(@_)">
                  <c:v>1796.0612244897961</c:v>
                </c:pt>
                <c:pt idx="41" formatCode="_(* #,##0.00_);_(* \(#,##0.00\);_(* &quot;-&quot;??_);_(@_)">
                  <c:v>1695.8979591836733</c:v>
                </c:pt>
                <c:pt idx="42" formatCode="_(* #,##0.00_);_(* \(#,##0.00\);_(* &quot;-&quot;??_);_(@_)">
                  <c:v>2901.408163265306</c:v>
                </c:pt>
                <c:pt idx="43" formatCode="_(* #,##0.00_);_(* \(#,##0.00\);_(* &quot;-&quot;??_);_(@_)">
                  <c:v>2717.3673469387754</c:v>
                </c:pt>
                <c:pt idx="44" formatCode="_(* #,##0.00_);_(* \(#,##0.00\);_(* &quot;-&quot;??_);_(@_)">
                  <c:v>2945.1428571428569</c:v>
                </c:pt>
                <c:pt idx="45" formatCode="_(* #,##0.00_);_(* \(#,##0.00\);_(* &quot;-&quot;??_);_(@_)">
                  <c:v>2692.5</c:v>
                </c:pt>
                <c:pt idx="46" formatCode="_(* #,##0.00_);_(* \(#,##0.00\);_(* &quot;-&quot;??_);_(@_)">
                  <c:v>2281.0204081632655</c:v>
                </c:pt>
                <c:pt idx="47" formatCode="_(* #,##0.00_);_(* \(#,##0.00\);_(* &quot;-&quot;??_);_(@_)">
                  <c:v>1812.6326530612246</c:v>
                </c:pt>
                <c:pt idx="48" formatCode="_(* #,##0.00_);_(* \(#,##0.00\);_(* &quot;-&quot;??_);_(@_)">
                  <c:v>1746.8979591836733</c:v>
                </c:pt>
                <c:pt idx="49" formatCode="_(* #,##0.00_);_(* \(#,##0.00\);_(* &quot;-&quot;??_);_(@_)">
                  <c:v>2759.408163265306</c:v>
                </c:pt>
                <c:pt idx="50" formatCode="_(* #,##0.00_);_(* \(#,##0.00\);_(* &quot;-&quot;??_);_(@_)">
                  <c:v>2702.6530612244896</c:v>
                </c:pt>
                <c:pt idx="51" formatCode="_(* #,##0.00_);_(* \(#,##0.00\);_(* &quot;-&quot;??_);_(@_)">
                  <c:v>2870.5714285714284</c:v>
                </c:pt>
                <c:pt idx="52" formatCode="_(* #,##0.00_);_(* \(#,##0.00\);_(* &quot;-&quot;??_);_(@_)">
                  <c:v>2701.6428571428569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1-6A46-88FF-3ABC33B74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51232"/>
        <c:axId val="491941344"/>
      </c:lineChart>
      <c:dateAx>
        <c:axId val="4966512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41344"/>
        <c:crosses val="autoZero"/>
        <c:auto val="1"/>
        <c:lblOffset val="100"/>
        <c:baseTimeUnit val="days"/>
      </c:dateAx>
      <c:valAx>
        <c:axId val="4919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5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'S2-Time Series Components'!$F$1:$F$4</c:f>
              <c:strCache>
                <c:ptCount val="4"/>
                <c:pt idx="0">
                  <c:v>Average Seasonal Indices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'S2-Time Series Components'!$B$5:$B$57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'S2-Time Series Components'!$F$5:$F$57</c:f>
              <c:numCache>
                <c:formatCode>0.00</c:formatCode>
                <c:ptCount val="53"/>
                <c:pt idx="0">
                  <c:v>260.07142857142856</c:v>
                </c:pt>
                <c:pt idx="1">
                  <c:v>-125.4081632653061</c:v>
                </c:pt>
                <c:pt idx="2">
                  <c:v>-628.65306122448976</c:v>
                </c:pt>
                <c:pt idx="3">
                  <c:v>-707.67346938775506</c:v>
                </c:pt>
                <c:pt idx="4">
                  <c:v>429.83673469387759</c:v>
                </c:pt>
                <c:pt idx="5">
                  <c:v>265.08163265306132</c:v>
                </c:pt>
                <c:pt idx="6">
                  <c:v>458.57142857142856</c:v>
                </c:pt>
                <c:pt idx="7">
                  <c:v>260.07142857142856</c:v>
                </c:pt>
                <c:pt idx="8">
                  <c:v>-125.4081632653061</c:v>
                </c:pt>
                <c:pt idx="9">
                  <c:v>-628.65306122448976</c:v>
                </c:pt>
                <c:pt idx="10">
                  <c:v>-707.67346938775506</c:v>
                </c:pt>
                <c:pt idx="11">
                  <c:v>429.83673469387759</c:v>
                </c:pt>
                <c:pt idx="12">
                  <c:v>265.08163265306132</c:v>
                </c:pt>
                <c:pt idx="13">
                  <c:v>458.57142857142856</c:v>
                </c:pt>
                <c:pt idx="14">
                  <c:v>260.07142857142856</c:v>
                </c:pt>
                <c:pt idx="15">
                  <c:v>-125.4081632653061</c:v>
                </c:pt>
                <c:pt idx="16">
                  <c:v>-628.65306122448976</c:v>
                </c:pt>
                <c:pt idx="17">
                  <c:v>-707.67346938775506</c:v>
                </c:pt>
                <c:pt idx="18">
                  <c:v>429.83673469387759</c:v>
                </c:pt>
                <c:pt idx="19">
                  <c:v>265.08163265306132</c:v>
                </c:pt>
                <c:pt idx="20">
                  <c:v>458.57142857142856</c:v>
                </c:pt>
                <c:pt idx="21">
                  <c:v>260.07142857142856</c:v>
                </c:pt>
                <c:pt idx="22">
                  <c:v>-125.4081632653061</c:v>
                </c:pt>
                <c:pt idx="23">
                  <c:v>-628.65306122448976</c:v>
                </c:pt>
                <c:pt idx="24">
                  <c:v>-707.67346938775506</c:v>
                </c:pt>
                <c:pt idx="25">
                  <c:v>429.83673469387759</c:v>
                </c:pt>
                <c:pt idx="26">
                  <c:v>265.08163265306132</c:v>
                </c:pt>
                <c:pt idx="27">
                  <c:v>458.57142857142856</c:v>
                </c:pt>
                <c:pt idx="28">
                  <c:v>260.07142857142856</c:v>
                </c:pt>
                <c:pt idx="29">
                  <c:v>-125.4081632653061</c:v>
                </c:pt>
                <c:pt idx="30">
                  <c:v>-628.65306122448976</c:v>
                </c:pt>
                <c:pt idx="31">
                  <c:v>-707.67346938775506</c:v>
                </c:pt>
                <c:pt idx="32">
                  <c:v>429.83673469387759</c:v>
                </c:pt>
                <c:pt idx="33">
                  <c:v>265.08163265306132</c:v>
                </c:pt>
                <c:pt idx="34">
                  <c:v>458.57142857142856</c:v>
                </c:pt>
                <c:pt idx="35">
                  <c:v>260.07142857142856</c:v>
                </c:pt>
                <c:pt idx="36">
                  <c:v>-125.4081632653061</c:v>
                </c:pt>
                <c:pt idx="37">
                  <c:v>-628.65306122448976</c:v>
                </c:pt>
                <c:pt idx="38">
                  <c:v>-707.67346938775506</c:v>
                </c:pt>
                <c:pt idx="39">
                  <c:v>429.83673469387759</c:v>
                </c:pt>
                <c:pt idx="40">
                  <c:v>265.08163265306132</c:v>
                </c:pt>
                <c:pt idx="41">
                  <c:v>458.57142857142856</c:v>
                </c:pt>
                <c:pt idx="42">
                  <c:v>260.07142857142856</c:v>
                </c:pt>
                <c:pt idx="43">
                  <c:v>-125.4081632653061</c:v>
                </c:pt>
                <c:pt idx="44">
                  <c:v>-628.65306122448976</c:v>
                </c:pt>
                <c:pt idx="45">
                  <c:v>-707.67346938775506</c:v>
                </c:pt>
                <c:pt idx="46">
                  <c:v>429.83673469387759</c:v>
                </c:pt>
                <c:pt idx="47">
                  <c:v>265.08163265306132</c:v>
                </c:pt>
                <c:pt idx="48">
                  <c:v>458.57142857142856</c:v>
                </c:pt>
                <c:pt idx="49">
                  <c:v>260.07142857142856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8-6445-856E-F9DC809F1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110063"/>
        <c:axId val="492069344"/>
      </c:lineChart>
      <c:dateAx>
        <c:axId val="2094110063"/>
        <c:scaling>
          <c:orientation val="minMax"/>
          <c:min val="4504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69344"/>
        <c:crossesAt val="-800"/>
        <c:auto val="1"/>
        <c:lblOffset val="100"/>
        <c:baseTimeUnit val="days"/>
      </c:dateAx>
      <c:valAx>
        <c:axId val="4920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1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Original VS Reconstructed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'S2-Time Series Components'!$D$1</c:f>
              <c:strCache>
                <c:ptCount val="1"/>
                <c:pt idx="0">
                  <c:v>New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'S2-Time Series Components'!$B$2:$B$57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'S2-Time Series Components'!$D$2:$D$57</c:f>
              <c:numCache>
                <c:formatCode>_-* #,##0_-;\-* #,##0_-;_-* "-"??_-;_-@_-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0-AD4B-BC9C-0B8A54B6E37E}"/>
            </c:ext>
          </c:extLst>
        </c:ser>
        <c:ser>
          <c:idx val="1"/>
          <c:order val="1"/>
          <c:tx>
            <c:strRef>
              <c:f>'S2-Time Series Components'!$H$1</c:f>
              <c:strCache>
                <c:ptCount val="1"/>
                <c:pt idx="0">
                  <c:v>Reconstructed Time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'S2-Time Series Components'!$B$2:$B$57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'S2-Time Series Components'!$H$2:$H$57</c:f>
              <c:numCache>
                <c:formatCode>General</c:formatCode>
                <c:ptCount val="56"/>
                <c:pt idx="3" formatCode="_-* #,##0_-;\-* #,##0_-;_-* &quot;-&quot;??_-;_-@_-">
                  <c:v>1628</c:v>
                </c:pt>
                <c:pt idx="4" formatCode="_-* #,##0_-;\-* #,##0_-;_-* &quot;-&quot;??_-;_-@_-">
                  <c:v>1555</c:v>
                </c:pt>
                <c:pt idx="5" formatCode="_-* #,##0_-;\-* #,##0_-;_-* &quot;-&quot;??_-;_-@_-">
                  <c:v>1240</c:v>
                </c:pt>
                <c:pt idx="6" formatCode="_-* #,##0_-;\-* #,##0_-;_-* &quot;-&quot;??_-;_-@_-">
                  <c:v>864</c:v>
                </c:pt>
                <c:pt idx="7" formatCode="_-* #,##0_-;\-* #,##0_-;_-* &quot;-&quot;??_-;_-@_-">
                  <c:v>1882</c:v>
                </c:pt>
                <c:pt idx="8" formatCode="_-* #,##0_-;\-* #,##0_-;_-* &quot;-&quot;??_-;_-@_-">
                  <c:v>2306</c:v>
                </c:pt>
                <c:pt idx="9" formatCode="_-* #,##0_-;\-* #,##0_-;_-* &quot;-&quot;??_-;_-@_-">
                  <c:v>1988</c:v>
                </c:pt>
                <c:pt idx="10" formatCode="_-* #,##0_-;\-* #,##0_-;_-* &quot;-&quot;??_-;_-@_-">
                  <c:v>1886</c:v>
                </c:pt>
                <c:pt idx="11" formatCode="_-* #,##0_-;\-* #,##0_-;_-* &quot;-&quot;??_-;_-@_-">
                  <c:v>1365</c:v>
                </c:pt>
                <c:pt idx="12" formatCode="_-* #,##0_-;\-* #,##0_-;_-* &quot;-&quot;??_-;_-@_-">
                  <c:v>998</c:v>
                </c:pt>
                <c:pt idx="13" formatCode="_-* #,##0_-;\-* #,##0_-;_-* &quot;-&quot;??_-;_-@_-">
                  <c:v>1052</c:v>
                </c:pt>
                <c:pt idx="14" formatCode="_-* #,##0_-;\-* #,##0_-;_-* &quot;-&quot;??_-;_-@_-">
                  <c:v>1905</c:v>
                </c:pt>
                <c:pt idx="15" formatCode="_-* #,##0_-;\-* #,##0_-;_-* &quot;-&quot;??_-;_-@_-">
                  <c:v>1767</c:v>
                </c:pt>
                <c:pt idx="16" formatCode="_-* #,##0_-;\-* #,##0_-;_-* &quot;-&quot;??_-;_-@_-">
                  <c:v>1911</c:v>
                </c:pt>
                <c:pt idx="17" formatCode="_-* #,##0_-;\-* #,##0_-;_-* &quot;-&quot;??_-;_-@_-">
                  <c:v>2036</c:v>
                </c:pt>
                <c:pt idx="18" formatCode="_-* #,##0_-;\-* #,##0_-;_-* &quot;-&quot;??_-;_-@_-">
                  <c:v>1428</c:v>
                </c:pt>
                <c:pt idx="19" formatCode="_-* #,##0_-;\-* #,##0_-;_-* &quot;-&quot;??_-;_-@_-">
                  <c:v>1008</c:v>
                </c:pt>
                <c:pt idx="20" formatCode="_-* #,##0_-;\-* #,##0_-;_-* &quot;-&quot;??_-;_-@_-">
                  <c:v>1082</c:v>
                </c:pt>
                <c:pt idx="21" formatCode="_-* #,##0_-;\-* #,##0_-;_-* &quot;-&quot;??_-;_-@_-">
                  <c:v>1921</c:v>
                </c:pt>
                <c:pt idx="22" formatCode="_-* #,##0_-;\-* #,##0_-;_-* &quot;-&quot;??_-;_-@_-">
                  <c:v>1780</c:v>
                </c:pt>
                <c:pt idx="23" formatCode="_-* #,##0_-;\-* #,##0_-;_-* &quot;-&quot;??_-;_-@_-">
                  <c:v>2071</c:v>
                </c:pt>
                <c:pt idx="24" formatCode="_-* #,##0_-;\-* #,##0_-;_-* &quot;-&quot;??_-;_-@_-">
                  <c:v>1813</c:v>
                </c:pt>
                <c:pt idx="25" formatCode="_-* #,##0_-;\-* #,##0_-;_-* &quot;-&quot;??_-;_-@_-">
                  <c:v>1780</c:v>
                </c:pt>
                <c:pt idx="26" formatCode="_-* #,##0_-;\-* #,##0_-;_-* &quot;-&quot;??_-;_-@_-">
                  <c:v>1236</c:v>
                </c:pt>
                <c:pt idx="27" formatCode="_-* #,##0_-;\-* #,##0_-;_-* &quot;-&quot;??_-;_-@_-">
                  <c:v>1082</c:v>
                </c:pt>
                <c:pt idx="28" formatCode="_-* #,##0_-;\-* #,##0_-;_-* &quot;-&quot;??_-;_-@_-">
                  <c:v>1777</c:v>
                </c:pt>
                <c:pt idx="29" formatCode="_-* #,##0_-;\-* #,##0_-;_-* &quot;-&quot;??_-;_-@_-">
                  <c:v>1766</c:v>
                </c:pt>
                <c:pt idx="30" formatCode="_-* #,##0_-;\-* #,##0_-;_-* &quot;-&quot;??_-;_-@_-">
                  <c:v>1884</c:v>
                </c:pt>
                <c:pt idx="31" formatCode="_-* #,##0_-;\-* #,##0_-;_-* &quot;-&quot;??_-;_-@_-">
                  <c:v>1780</c:v>
                </c:pt>
                <c:pt idx="32" formatCode="_-* #,##0_-;\-* #,##0_-;_-* &quot;-&quot;??_-;_-@_-">
                  <c:v>1572</c:v>
                </c:pt>
                <c:pt idx="33" formatCode="_-* #,##0_-;\-* #,##0_-;_-* &quot;-&quot;??_-;_-@_-">
                  <c:v>948</c:v>
                </c:pt>
                <c:pt idx="34" formatCode="_-* #,##0_-;\-* #,##0_-;_-* &quot;-&quot;??_-;_-@_-">
                  <c:v>1085</c:v>
                </c:pt>
                <c:pt idx="35" formatCode="_-* #,##0_-;\-* #,##0_-;_-* &quot;-&quot;??_-;_-@_-">
                  <c:v>2917</c:v>
                </c:pt>
                <c:pt idx="36" formatCode="_-* #,##0_-;\-* #,##0_-;_-* &quot;-&quot;??_-;_-@_-">
                  <c:v>2801</c:v>
                </c:pt>
                <c:pt idx="37" formatCode="_-* #,##0_-;\-* #,##0_-;_-* &quot;-&quot;??_-;_-@_-">
                  <c:v>3075</c:v>
                </c:pt>
                <c:pt idx="38" formatCode="_-* #,##0_-;\-* #,##0_-;_-* &quot;-&quot;??_-;_-@_-">
                  <c:v>2737</c:v>
                </c:pt>
                <c:pt idx="39" formatCode="_-* #,##0_-;\-* #,##0_-;_-* &quot;-&quot;??_-;_-@_-">
                  <c:v>2329</c:v>
                </c:pt>
                <c:pt idx="40" formatCode="_-* #,##0_-;\-* #,##0_-;_-* &quot;-&quot;??_-;_-@_-">
                  <c:v>1540</c:v>
                </c:pt>
                <c:pt idx="41" formatCode="_-* #,##0_-;\-* #,##0_-;_-* &quot;-&quot;??_-;_-@_-">
                  <c:v>1787</c:v>
                </c:pt>
                <c:pt idx="42" formatCode="_-* #,##0_-;\-* #,##0_-;_-* &quot;-&quot;??_-;_-@_-">
                  <c:v>3102</c:v>
                </c:pt>
                <c:pt idx="43" formatCode="_-* #,##0_-;\-* #,##0_-;_-* &quot;-&quot;??_-;_-@_-">
                  <c:v>2403</c:v>
                </c:pt>
                <c:pt idx="44" formatCode="_-* #,##0_-;\-* #,##0_-;_-* &quot;-&quot;??_-;_-@_-">
                  <c:v>2927</c:v>
                </c:pt>
                <c:pt idx="45" formatCode="_-* #,##0_-;\-* #,##0_-;_-* &quot;-&quot;??_-;_-@_-">
                  <c:v>3213</c:v>
                </c:pt>
                <c:pt idx="46" formatCode="_-* #,##0_-;\-* #,##0_-;_-* &quot;-&quot;??_-;_-@_-">
                  <c:v>2194</c:v>
                </c:pt>
                <c:pt idx="47" formatCode="_-* #,##0_-;\-* #,##0_-;_-* &quot;-&quot;??_-;_-@_-">
                  <c:v>1780</c:v>
                </c:pt>
                <c:pt idx="48" formatCode="_-* #,##0_-;\-* #,##0_-;_-* &quot;-&quot;??_-;_-@_-">
                  <c:v>1408</c:v>
                </c:pt>
                <c:pt idx="49" formatCode="_-* #,##0_-;\-* #,##0_-;_-* &quot;-&quot;??_-;_-@_-">
                  <c:v>2920</c:v>
                </c:pt>
                <c:pt idx="50" formatCode="_-* #,##0_-;\-* #,##0_-;_-* &quot;-&quot;??_-;_-@_-">
                  <c:v>2647</c:v>
                </c:pt>
                <c:pt idx="51" formatCode="_-* #,##0_-;\-* #,##0_-;_-* &quot;-&quot;??_-;_-@_-">
                  <c:v>3020</c:v>
                </c:pt>
                <c:pt idx="52" formatCode="_-* #,##0_-;\-* #,##0_-;_-* &quot;-&quot;??_-;_-@_-">
                  <c:v>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0-AD4B-BC9C-0B8A54B6E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565024"/>
        <c:axId val="1245809328"/>
      </c:lineChart>
      <c:dateAx>
        <c:axId val="324565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809328"/>
        <c:crosses val="autoZero"/>
        <c:auto val="1"/>
        <c:lblOffset val="100"/>
        <c:baseTimeUnit val="days"/>
      </c:dateAx>
      <c:valAx>
        <c:axId val="12458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CMA-7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'S2-Time Series Components'!$E$1:$E$4</c:f>
              <c:strCache>
                <c:ptCount val="4"/>
                <c:pt idx="0">
                  <c:v>CMA-7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'S2-Time Series Components'!$B$5:$B$57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'S2-Time Series Components'!$E$5:$E$57</c:f>
              <c:numCache>
                <c:formatCode>_-* #,##0_-;\-* #,##0_-;_-* "-"??_-;_-@_-</c:formatCode>
                <c:ptCount val="53"/>
                <c:pt idx="0">
                  <c:v>1577.1428571428571</c:v>
                </c:pt>
                <c:pt idx="1">
                  <c:v>1620.8571428571429</c:v>
                </c:pt>
                <c:pt idx="2">
                  <c:v>1621.8571428571429</c:v>
                </c:pt>
                <c:pt idx="3">
                  <c:v>1637.5714285714287</c:v>
                </c:pt>
                <c:pt idx="4">
                  <c:v>1674.4285714285713</c:v>
                </c:pt>
                <c:pt idx="5">
                  <c:v>1647.2857142857142</c:v>
                </c:pt>
                <c:pt idx="6">
                  <c:v>1612.7142857142858</c:v>
                </c:pt>
                <c:pt idx="7">
                  <c:v>1639.5714285714287</c:v>
                </c:pt>
                <c:pt idx="8">
                  <c:v>1642.8571428571429</c:v>
                </c:pt>
                <c:pt idx="9">
                  <c:v>1565.8571428571429</c:v>
                </c:pt>
                <c:pt idx="10">
                  <c:v>1554.8571428571429</c:v>
                </c:pt>
                <c:pt idx="11">
                  <c:v>1576.2857142857142</c:v>
                </c:pt>
                <c:pt idx="12">
                  <c:v>1585.2857142857142</c:v>
                </c:pt>
                <c:pt idx="13">
                  <c:v>1586.7142857142858</c:v>
                </c:pt>
                <c:pt idx="14">
                  <c:v>1591</c:v>
                </c:pt>
                <c:pt idx="15">
                  <c:v>1593.2857142857142</c:v>
                </c:pt>
                <c:pt idx="16">
                  <c:v>1595.1428571428571</c:v>
                </c:pt>
                <c:pt idx="17">
                  <c:v>1618</c:v>
                </c:pt>
                <c:pt idx="18">
                  <c:v>1586.1428571428571</c:v>
                </c:pt>
                <c:pt idx="19">
                  <c:v>1636.4285714285713</c:v>
                </c:pt>
                <c:pt idx="20">
                  <c:v>1669</c:v>
                </c:pt>
                <c:pt idx="21">
                  <c:v>1669</c:v>
                </c:pt>
                <c:pt idx="22">
                  <c:v>1648.4285714285713</c:v>
                </c:pt>
                <c:pt idx="23">
                  <c:v>1646.4285714285713</c:v>
                </c:pt>
                <c:pt idx="24">
                  <c:v>1619.7142857142858</c:v>
                </c:pt>
                <c:pt idx="25">
                  <c:v>1615</c:v>
                </c:pt>
                <c:pt idx="26">
                  <c:v>1585.2857142857142</c:v>
                </c:pt>
                <c:pt idx="27">
                  <c:v>1544.1428571428571</c:v>
                </c:pt>
                <c:pt idx="28">
                  <c:v>1544.5714285714287</c:v>
                </c:pt>
                <c:pt idx="29">
                  <c:v>1707.4285714285713</c:v>
                </c:pt>
                <c:pt idx="30">
                  <c:v>1855.2857142857142</c:v>
                </c:pt>
                <c:pt idx="31">
                  <c:v>2025.4285714285713</c:v>
                </c:pt>
                <c:pt idx="32">
                  <c:v>2162.1428571428573</c:v>
                </c:pt>
                <c:pt idx="33">
                  <c:v>2270.2857142857142</c:v>
                </c:pt>
                <c:pt idx="34">
                  <c:v>2354.8571428571427</c:v>
                </c:pt>
                <c:pt idx="35">
                  <c:v>2455.1428571428573</c:v>
                </c:pt>
                <c:pt idx="36">
                  <c:v>2481.5714285714284</c:v>
                </c:pt>
                <c:pt idx="37">
                  <c:v>2424.7142857142858</c:v>
                </c:pt>
                <c:pt idx="38">
                  <c:v>2403.5714285714284</c:v>
                </c:pt>
                <c:pt idx="39">
                  <c:v>2471.5714285714284</c:v>
                </c:pt>
                <c:pt idx="40">
                  <c:v>2452.2857142857142</c:v>
                </c:pt>
                <c:pt idx="41">
                  <c:v>2486.5714285714284</c:v>
                </c:pt>
                <c:pt idx="42">
                  <c:v>2432.4285714285716</c:v>
                </c:pt>
                <c:pt idx="43">
                  <c:v>2406.4285714285716</c:v>
                </c:pt>
                <c:pt idx="44">
                  <c:v>2441.2857142857142</c:v>
                </c:pt>
                <c:pt idx="45">
                  <c:v>2454.5714285714284</c:v>
                </c:pt>
                <c:pt idx="46">
                  <c:v>2329.5714285714284</c:v>
                </c:pt>
                <c:pt idx="47">
                  <c:v>2437.5714285714284</c:v>
                </c:pt>
                <c:pt idx="48">
                  <c:v>2412</c:v>
                </c:pt>
                <c:pt idx="49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8-A444-85D4-7B7551D1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13104"/>
        <c:axId val="1350762976"/>
      </c:lineChart>
      <c:dateAx>
        <c:axId val="496213104"/>
        <c:scaling>
          <c:orientation val="minMax"/>
          <c:min val="4504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62976"/>
        <c:crosses val="autoZero"/>
        <c:auto val="1"/>
        <c:lblOffset val="100"/>
        <c:baseTimeUnit val="days"/>
      </c:dateAx>
      <c:valAx>
        <c:axId val="13507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'S2-Time Series Components'!$G$1:$G$4</c:f>
              <c:strCache>
                <c:ptCount val="4"/>
                <c:pt idx="0">
                  <c:v>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'S2-Time Series Components'!$B$5:$B$57</c:f>
              <c:numCache>
                <c:formatCode>d\-mmm</c:formatCode>
                <c:ptCount val="53"/>
                <c:pt idx="0">
                  <c:v>45050</c:v>
                </c:pt>
                <c:pt idx="1">
                  <c:v>45051</c:v>
                </c:pt>
                <c:pt idx="2">
                  <c:v>45052</c:v>
                </c:pt>
                <c:pt idx="3">
                  <c:v>45053</c:v>
                </c:pt>
                <c:pt idx="4">
                  <c:v>45054</c:v>
                </c:pt>
                <c:pt idx="5">
                  <c:v>45055</c:v>
                </c:pt>
                <c:pt idx="6">
                  <c:v>45056</c:v>
                </c:pt>
                <c:pt idx="7">
                  <c:v>45057</c:v>
                </c:pt>
                <c:pt idx="8">
                  <c:v>45058</c:v>
                </c:pt>
                <c:pt idx="9">
                  <c:v>45059</c:v>
                </c:pt>
                <c:pt idx="10">
                  <c:v>45060</c:v>
                </c:pt>
                <c:pt idx="11">
                  <c:v>45061</c:v>
                </c:pt>
                <c:pt idx="12">
                  <c:v>45062</c:v>
                </c:pt>
                <c:pt idx="13">
                  <c:v>45063</c:v>
                </c:pt>
                <c:pt idx="14">
                  <c:v>45064</c:v>
                </c:pt>
                <c:pt idx="15">
                  <c:v>45065</c:v>
                </c:pt>
                <c:pt idx="16">
                  <c:v>45066</c:v>
                </c:pt>
                <c:pt idx="17">
                  <c:v>45067</c:v>
                </c:pt>
                <c:pt idx="18">
                  <c:v>45068</c:v>
                </c:pt>
                <c:pt idx="19">
                  <c:v>45069</c:v>
                </c:pt>
                <c:pt idx="20">
                  <c:v>45070</c:v>
                </c:pt>
                <c:pt idx="21">
                  <c:v>45071</c:v>
                </c:pt>
                <c:pt idx="22">
                  <c:v>45072</c:v>
                </c:pt>
                <c:pt idx="23">
                  <c:v>45073</c:v>
                </c:pt>
                <c:pt idx="24">
                  <c:v>45074</c:v>
                </c:pt>
                <c:pt idx="25">
                  <c:v>45075</c:v>
                </c:pt>
                <c:pt idx="26">
                  <c:v>45076</c:v>
                </c:pt>
                <c:pt idx="27">
                  <c:v>45077</c:v>
                </c:pt>
                <c:pt idx="28">
                  <c:v>45078</c:v>
                </c:pt>
                <c:pt idx="29">
                  <c:v>45079</c:v>
                </c:pt>
                <c:pt idx="30">
                  <c:v>45080</c:v>
                </c:pt>
                <c:pt idx="31">
                  <c:v>45081</c:v>
                </c:pt>
                <c:pt idx="32">
                  <c:v>45082</c:v>
                </c:pt>
                <c:pt idx="33">
                  <c:v>45083</c:v>
                </c:pt>
                <c:pt idx="34">
                  <c:v>45084</c:v>
                </c:pt>
                <c:pt idx="35">
                  <c:v>45085</c:v>
                </c:pt>
                <c:pt idx="36">
                  <c:v>45086</c:v>
                </c:pt>
                <c:pt idx="37">
                  <c:v>45087</c:v>
                </c:pt>
                <c:pt idx="38">
                  <c:v>45088</c:v>
                </c:pt>
                <c:pt idx="39">
                  <c:v>45089</c:v>
                </c:pt>
                <c:pt idx="40">
                  <c:v>45090</c:v>
                </c:pt>
                <c:pt idx="41">
                  <c:v>45091</c:v>
                </c:pt>
                <c:pt idx="42">
                  <c:v>45092</c:v>
                </c:pt>
                <c:pt idx="43">
                  <c:v>45093</c:v>
                </c:pt>
                <c:pt idx="44">
                  <c:v>45094</c:v>
                </c:pt>
                <c:pt idx="45">
                  <c:v>45095</c:v>
                </c:pt>
                <c:pt idx="46">
                  <c:v>45096</c:v>
                </c:pt>
                <c:pt idx="47">
                  <c:v>45097</c:v>
                </c:pt>
                <c:pt idx="48">
                  <c:v>45098</c:v>
                </c:pt>
                <c:pt idx="49">
                  <c:v>45099</c:v>
                </c:pt>
                <c:pt idx="50">
                  <c:v>45100</c:v>
                </c:pt>
                <c:pt idx="51">
                  <c:v>45101</c:v>
                </c:pt>
                <c:pt idx="52">
                  <c:v>45102</c:v>
                </c:pt>
              </c:numCache>
            </c:numRef>
          </c:cat>
          <c:val>
            <c:numRef>
              <c:f>'S2-Time Series Components'!$G$5:$G$57</c:f>
              <c:numCache>
                <c:formatCode>0.00</c:formatCode>
                <c:ptCount val="53"/>
                <c:pt idx="0">
                  <c:v>-209.21428571428578</c:v>
                </c:pt>
                <c:pt idx="1">
                  <c:v>59.55102040816314</c:v>
                </c:pt>
                <c:pt idx="2">
                  <c:v>246.79591836734687</c:v>
                </c:pt>
                <c:pt idx="3">
                  <c:v>-65.897959183673606</c:v>
                </c:pt>
                <c:pt idx="4">
                  <c:v>-222.26530612244915</c:v>
                </c:pt>
                <c:pt idx="5">
                  <c:v>393.63265306122457</c:v>
                </c:pt>
                <c:pt idx="6">
                  <c:v>-83.285714285714221</c:v>
                </c:pt>
                <c:pt idx="7">
                  <c:v>-13.642857142857338</c:v>
                </c:pt>
                <c:pt idx="8">
                  <c:v>-152.44897959183686</c:v>
                </c:pt>
                <c:pt idx="9">
                  <c:v>60.795918367346871</c:v>
                </c:pt>
                <c:pt idx="10">
                  <c:v>204.81632653061217</c:v>
                </c:pt>
                <c:pt idx="11">
                  <c:v>-101.12244897959181</c:v>
                </c:pt>
                <c:pt idx="12">
                  <c:v>-83.367346938775427</c:v>
                </c:pt>
                <c:pt idx="13">
                  <c:v>-134.28571428571422</c:v>
                </c:pt>
                <c:pt idx="14">
                  <c:v>184.92857142857156</c:v>
                </c:pt>
                <c:pt idx="15">
                  <c:v>-39.877551020408191</c:v>
                </c:pt>
                <c:pt idx="16">
                  <c:v>41.510204081632651</c:v>
                </c:pt>
                <c:pt idx="17">
                  <c:v>171.67346938775506</c:v>
                </c:pt>
                <c:pt idx="18">
                  <c:v>-94.979591836734699</c:v>
                </c:pt>
                <c:pt idx="19">
                  <c:v>-121.51020408163276</c:v>
                </c:pt>
                <c:pt idx="20">
                  <c:v>-56.571428571428442</c:v>
                </c:pt>
                <c:pt idx="21">
                  <c:v>-116.07142857142844</c:v>
                </c:pt>
                <c:pt idx="22">
                  <c:v>256.9795918367347</c:v>
                </c:pt>
                <c:pt idx="23">
                  <c:v>218.22448979591843</c:v>
                </c:pt>
                <c:pt idx="24">
                  <c:v>169.95918367346928</c:v>
                </c:pt>
                <c:pt idx="25">
                  <c:v>-267.83673469387759</c:v>
                </c:pt>
                <c:pt idx="26">
                  <c:v>-84.367346938775427</c:v>
                </c:pt>
                <c:pt idx="27">
                  <c:v>-118.71428571428578</c:v>
                </c:pt>
                <c:pt idx="28">
                  <c:v>-24.642857142857338</c:v>
                </c:pt>
                <c:pt idx="29">
                  <c:v>-10.020408163265301</c:v>
                </c:pt>
                <c:pt idx="30">
                  <c:v>-278.63265306122457</c:v>
                </c:pt>
                <c:pt idx="31">
                  <c:v>-232.75510204081638</c:v>
                </c:pt>
                <c:pt idx="32">
                  <c:v>325.02040816326507</c:v>
                </c:pt>
                <c:pt idx="33">
                  <c:v>265.63265306122457</c:v>
                </c:pt>
                <c:pt idx="34">
                  <c:v>261.5714285714289</c:v>
                </c:pt>
                <c:pt idx="35">
                  <c:v>21.785714285714221</c:v>
                </c:pt>
                <c:pt idx="36">
                  <c:v>-27.163265306122412</c:v>
                </c:pt>
                <c:pt idx="37">
                  <c:v>-256.06122448979613</c:v>
                </c:pt>
                <c:pt idx="38">
                  <c:v>91.102040816326735</c:v>
                </c:pt>
                <c:pt idx="39">
                  <c:v>200.59183673469397</c:v>
                </c:pt>
                <c:pt idx="40">
                  <c:v>-314.36734693877543</c:v>
                </c:pt>
                <c:pt idx="41">
                  <c:v>-18.142857142856883</c:v>
                </c:pt>
                <c:pt idx="42">
                  <c:v>520.5</c:v>
                </c:pt>
                <c:pt idx="43">
                  <c:v>-87.020408163265529</c:v>
                </c:pt>
                <c:pt idx="44">
                  <c:v>-32.632653061224573</c:v>
                </c:pt>
                <c:pt idx="45">
                  <c:v>-338.89795918367327</c:v>
                </c:pt>
                <c:pt idx="46">
                  <c:v>160.59183673469397</c:v>
                </c:pt>
                <c:pt idx="47">
                  <c:v>-55.653061224489647</c:v>
                </c:pt>
                <c:pt idx="48">
                  <c:v>149.42857142857156</c:v>
                </c:pt>
                <c:pt idx="49">
                  <c:v>-363.64285714285688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3-A74F-A8EC-CACF791B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219919"/>
        <c:axId val="1351613984"/>
      </c:lineChart>
      <c:dateAx>
        <c:axId val="2094219919"/>
        <c:scaling>
          <c:orientation val="minMax"/>
          <c:min val="4504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13984"/>
        <c:crossesAt val="-500"/>
        <c:auto val="1"/>
        <c:lblOffset val="100"/>
        <c:baseTimeUnit val="days"/>
      </c:dateAx>
      <c:valAx>
        <c:axId val="13516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Seasonal Naive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Naive'!$A$28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'S3-Seasonal Naive'!$B$1:$BE$1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Naive'!$B$28:$BE$28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188</c:v>
                </c:pt>
                <c:pt idx="14" formatCode="0.0">
                  <c:v>23</c:v>
                </c:pt>
                <c:pt idx="15" formatCode="0.0">
                  <c:v>539</c:v>
                </c:pt>
                <c:pt idx="16" formatCode="0.0">
                  <c:v>77</c:v>
                </c:pt>
                <c:pt idx="17" formatCode="0.0">
                  <c:v>150</c:v>
                </c:pt>
                <c:pt idx="18" formatCode="0.0">
                  <c:v>63</c:v>
                </c:pt>
                <c:pt idx="19" formatCode="0.0">
                  <c:v>10</c:v>
                </c:pt>
                <c:pt idx="20" formatCode="0.0">
                  <c:v>30</c:v>
                </c:pt>
                <c:pt idx="21" formatCode="0.0">
                  <c:v>16</c:v>
                </c:pt>
                <c:pt idx="22" formatCode="0.0">
                  <c:v>13</c:v>
                </c:pt>
                <c:pt idx="23" formatCode="0.0">
                  <c:v>160</c:v>
                </c:pt>
                <c:pt idx="24" formatCode="0.0">
                  <c:v>223</c:v>
                </c:pt>
                <c:pt idx="25" formatCode="0.0">
                  <c:v>352</c:v>
                </c:pt>
                <c:pt idx="26" formatCode="0.0">
                  <c:v>228</c:v>
                </c:pt>
                <c:pt idx="27" formatCode="0.0">
                  <c:v>0</c:v>
                </c:pt>
                <c:pt idx="28" formatCode="0.0">
                  <c:v>144</c:v>
                </c:pt>
                <c:pt idx="29" formatCode="0.0">
                  <c:v>14</c:v>
                </c:pt>
                <c:pt idx="30" formatCode="0.0">
                  <c:v>187</c:v>
                </c:pt>
                <c:pt idx="31" formatCode="0.0">
                  <c:v>33</c:v>
                </c:pt>
                <c:pt idx="32" formatCode="0.0">
                  <c:v>208</c:v>
                </c:pt>
                <c:pt idx="33" formatCode="0.0">
                  <c:v>288</c:v>
                </c:pt>
                <c:pt idx="34" formatCode="0.0">
                  <c:v>3</c:v>
                </c:pt>
                <c:pt idx="35" formatCode="0.0">
                  <c:v>1140</c:v>
                </c:pt>
                <c:pt idx="36" formatCode="0.0">
                  <c:v>1035</c:v>
                </c:pt>
                <c:pt idx="37" formatCode="0.0">
                  <c:v>1191</c:v>
                </c:pt>
                <c:pt idx="38" formatCode="0.0">
                  <c:v>957</c:v>
                </c:pt>
                <c:pt idx="39" formatCode="0.0">
                  <c:v>757</c:v>
                </c:pt>
                <c:pt idx="40" formatCode="0.0">
                  <c:v>592</c:v>
                </c:pt>
                <c:pt idx="41" formatCode="0.0">
                  <c:v>702</c:v>
                </c:pt>
                <c:pt idx="42" formatCode="0.0">
                  <c:v>185</c:v>
                </c:pt>
                <c:pt idx="43" formatCode="0.0">
                  <c:v>398</c:v>
                </c:pt>
                <c:pt idx="44" formatCode="0.0">
                  <c:v>148</c:v>
                </c:pt>
                <c:pt idx="45" formatCode="0.0">
                  <c:v>476</c:v>
                </c:pt>
                <c:pt idx="46" formatCode="0.0">
                  <c:v>135</c:v>
                </c:pt>
                <c:pt idx="47" formatCode="0.0">
                  <c:v>240</c:v>
                </c:pt>
                <c:pt idx="48" formatCode="0.0">
                  <c:v>379</c:v>
                </c:pt>
                <c:pt idx="49" formatCode="0.0">
                  <c:v>182</c:v>
                </c:pt>
                <c:pt idx="50" formatCode="0.0">
                  <c:v>244</c:v>
                </c:pt>
                <c:pt idx="51" formatCode="0.0">
                  <c:v>93</c:v>
                </c:pt>
                <c:pt idx="52" formatCode="0.0">
                  <c:v>875</c:v>
                </c:pt>
                <c:pt idx="53" formatCode="0.0">
                  <c:v>756</c:v>
                </c:pt>
                <c:pt idx="54" formatCode="0.0">
                  <c:v>179</c:v>
                </c:pt>
                <c:pt idx="55" formatCode="0.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A-824A-B92C-AC8F78379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859391"/>
        <c:axId val="858861103"/>
      </c:barChart>
      <c:lineChart>
        <c:grouping val="standard"/>
        <c:varyColors val="0"/>
        <c:ser>
          <c:idx val="0"/>
          <c:order val="0"/>
          <c:tx>
            <c:strRef>
              <c:f>'S3-Seasonal Naive'!$A$2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Naive'!$B$1:$BE$1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Naive'!$B$2:$BE$2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A-824A-B92C-AC8F78379724}"/>
            </c:ext>
          </c:extLst>
        </c:ser>
        <c:ser>
          <c:idx val="1"/>
          <c:order val="1"/>
          <c:tx>
            <c:strRef>
              <c:f>'S3-Seasonal Naive'!$A$24</c:f>
              <c:strCache>
                <c:ptCount val="1"/>
                <c:pt idx="0">
                  <c:v>Actual Forecast (Seasonal Naïve)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Naive'!$B$1:$BE$1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Naive'!$B$24:$BE$24</c:f>
              <c:numCache>
                <c:formatCode>General</c:formatCode>
                <c:ptCount val="56"/>
                <c:pt idx="7">
                  <c:v>1576</c:v>
                </c:pt>
                <c:pt idx="8">
                  <c:v>2299</c:v>
                </c:pt>
                <c:pt idx="9">
                  <c:v>1878</c:v>
                </c:pt>
                <c:pt idx="10">
                  <c:v>1628</c:v>
                </c:pt>
                <c:pt idx="11">
                  <c:v>1555</c:v>
                </c:pt>
                <c:pt idx="12">
                  <c:v>1240</c:v>
                </c:pt>
                <c:pt idx="13">
                  <c:v>864</c:v>
                </c:pt>
                <c:pt idx="14">
                  <c:v>1882</c:v>
                </c:pt>
                <c:pt idx="15">
                  <c:v>2306</c:v>
                </c:pt>
                <c:pt idx="16">
                  <c:v>1988</c:v>
                </c:pt>
                <c:pt idx="17">
                  <c:v>1886</c:v>
                </c:pt>
                <c:pt idx="18">
                  <c:v>1365</c:v>
                </c:pt>
                <c:pt idx="19">
                  <c:v>998</c:v>
                </c:pt>
                <c:pt idx="20">
                  <c:v>1052</c:v>
                </c:pt>
                <c:pt idx="21">
                  <c:v>1905</c:v>
                </c:pt>
                <c:pt idx="22">
                  <c:v>1767</c:v>
                </c:pt>
                <c:pt idx="23">
                  <c:v>1911</c:v>
                </c:pt>
                <c:pt idx="24">
                  <c:v>2036</c:v>
                </c:pt>
                <c:pt idx="25">
                  <c:v>1428</c:v>
                </c:pt>
                <c:pt idx="26">
                  <c:v>1008</c:v>
                </c:pt>
                <c:pt idx="27">
                  <c:v>1082</c:v>
                </c:pt>
                <c:pt idx="28">
                  <c:v>1921</c:v>
                </c:pt>
                <c:pt idx="29">
                  <c:v>1780</c:v>
                </c:pt>
                <c:pt idx="30">
                  <c:v>2071</c:v>
                </c:pt>
                <c:pt idx="31">
                  <c:v>1813</c:v>
                </c:pt>
                <c:pt idx="32">
                  <c:v>1780</c:v>
                </c:pt>
                <c:pt idx="33">
                  <c:v>1236</c:v>
                </c:pt>
                <c:pt idx="34">
                  <c:v>1082</c:v>
                </c:pt>
                <c:pt idx="35">
                  <c:v>1777</c:v>
                </c:pt>
                <c:pt idx="36">
                  <c:v>1766</c:v>
                </c:pt>
                <c:pt idx="37">
                  <c:v>1884</c:v>
                </c:pt>
                <c:pt idx="38">
                  <c:v>1780</c:v>
                </c:pt>
                <c:pt idx="39">
                  <c:v>1572</c:v>
                </c:pt>
                <c:pt idx="40">
                  <c:v>948</c:v>
                </c:pt>
                <c:pt idx="41">
                  <c:v>1085</c:v>
                </c:pt>
                <c:pt idx="42">
                  <c:v>2917</c:v>
                </c:pt>
                <c:pt idx="43">
                  <c:v>2801</c:v>
                </c:pt>
                <c:pt idx="44">
                  <c:v>3075</c:v>
                </c:pt>
                <c:pt idx="45">
                  <c:v>2737</c:v>
                </c:pt>
                <c:pt idx="46">
                  <c:v>2329</c:v>
                </c:pt>
                <c:pt idx="47">
                  <c:v>1540</c:v>
                </c:pt>
                <c:pt idx="48">
                  <c:v>1787</c:v>
                </c:pt>
                <c:pt idx="49">
                  <c:v>3102</c:v>
                </c:pt>
                <c:pt idx="50">
                  <c:v>2403</c:v>
                </c:pt>
                <c:pt idx="51">
                  <c:v>2927</c:v>
                </c:pt>
                <c:pt idx="52">
                  <c:v>3213</c:v>
                </c:pt>
                <c:pt idx="53">
                  <c:v>2194</c:v>
                </c:pt>
                <c:pt idx="54">
                  <c:v>1780</c:v>
                </c:pt>
                <c:pt idx="55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A-824A-B92C-AC8F78379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59391"/>
        <c:axId val="858861103"/>
      </c:lineChart>
      <c:dateAx>
        <c:axId val="85885939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61103"/>
        <c:crosses val="autoZero"/>
        <c:auto val="1"/>
        <c:lblOffset val="100"/>
        <c:baseTimeUnit val="days"/>
      </c:dateAx>
      <c:valAx>
        <c:axId val="8588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5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Seasonal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Average'!$A$48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Average'!$B$48:$BE$48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188</c:v>
                </c:pt>
                <c:pt idx="14" formatCode="0.0">
                  <c:v>176</c:v>
                </c:pt>
                <c:pt idx="15" formatCode="0.0">
                  <c:v>535.5</c:v>
                </c:pt>
                <c:pt idx="16" formatCode="0.0">
                  <c:v>22</c:v>
                </c:pt>
                <c:pt idx="17" formatCode="0.0">
                  <c:v>279</c:v>
                </c:pt>
                <c:pt idx="18" formatCode="0.0">
                  <c:v>32</c:v>
                </c:pt>
                <c:pt idx="19" formatCode="0.0">
                  <c:v>111</c:v>
                </c:pt>
                <c:pt idx="20" formatCode="0.0">
                  <c:v>124</c:v>
                </c:pt>
                <c:pt idx="21" formatCode="0.0">
                  <c:v>133.33333333333326</c:v>
                </c:pt>
                <c:pt idx="22" formatCode="0.0">
                  <c:v>344</c:v>
                </c:pt>
                <c:pt idx="23" formatCode="0.0">
                  <c:v>145.33333333333326</c:v>
                </c:pt>
                <c:pt idx="24" formatCode="0.0">
                  <c:v>37</c:v>
                </c:pt>
                <c:pt idx="25" formatCode="0.0">
                  <c:v>330.66666666666674</c:v>
                </c:pt>
                <c:pt idx="26" formatCode="0.0">
                  <c:v>154</c:v>
                </c:pt>
                <c:pt idx="27" formatCode="0.0">
                  <c:v>82.666666666666629</c:v>
                </c:pt>
                <c:pt idx="28" formatCode="0.0">
                  <c:v>44</c:v>
                </c:pt>
                <c:pt idx="29" formatCode="0.0">
                  <c:v>272</c:v>
                </c:pt>
                <c:pt idx="30" formatCode="0.0">
                  <c:v>78</c:v>
                </c:pt>
                <c:pt idx="31" formatCode="0.0">
                  <c:v>60.75</c:v>
                </c:pt>
                <c:pt idx="32" formatCode="0.0">
                  <c:v>40</c:v>
                </c:pt>
                <c:pt idx="33" formatCode="0.0">
                  <c:v>172.5</c:v>
                </c:pt>
                <c:pt idx="34" formatCode="0.0">
                  <c:v>65</c:v>
                </c:pt>
                <c:pt idx="35" formatCode="0.0">
                  <c:v>1104.8</c:v>
                </c:pt>
                <c:pt idx="36" formatCode="0.0">
                  <c:v>817.40000000000009</c:v>
                </c:pt>
                <c:pt idx="37" formatCode="0.0">
                  <c:v>1128.5999999999999</c:v>
                </c:pt>
                <c:pt idx="38" formatCode="0.0">
                  <c:v>908.40000000000009</c:v>
                </c:pt>
                <c:pt idx="39" formatCode="0.0">
                  <c:v>789</c:v>
                </c:pt>
                <c:pt idx="40" formatCode="0.0">
                  <c:v>454</c:v>
                </c:pt>
                <c:pt idx="41" formatCode="0.0">
                  <c:v>754</c:v>
                </c:pt>
                <c:pt idx="42" formatCode="0.0">
                  <c:v>1105.6666666666667</c:v>
                </c:pt>
                <c:pt idx="43" formatCode="0.0">
                  <c:v>283.16666666666652</c:v>
                </c:pt>
                <c:pt idx="44" formatCode="0.0">
                  <c:v>792.5</c:v>
                </c:pt>
                <c:pt idx="45" formatCode="0.0">
                  <c:v>1233</c:v>
                </c:pt>
                <c:pt idx="46" formatCode="0.0">
                  <c:v>522.5</c:v>
                </c:pt>
                <c:pt idx="47" formatCode="0.0">
                  <c:v>618.33333333333326</c:v>
                </c:pt>
                <c:pt idx="48" formatCode="0.0">
                  <c:v>249.33333333333326</c:v>
                </c:pt>
                <c:pt idx="49" formatCode="0.0">
                  <c:v>765.71428571428578</c:v>
                </c:pt>
                <c:pt idx="50" formatCode="0.0">
                  <c:v>486.71428571428578</c:v>
                </c:pt>
                <c:pt idx="51" formatCode="0.0">
                  <c:v>772.28571428571422</c:v>
                </c:pt>
                <c:pt idx="52" formatCode="0.0">
                  <c:v>181.85714285714266</c:v>
                </c:pt>
                <c:pt idx="53" formatCode="0.0">
                  <c:v>1203.8571428571429</c:v>
                </c:pt>
                <c:pt idx="54" formatCode="0.0">
                  <c:v>351</c:v>
                </c:pt>
                <c:pt idx="55" formatCode="0.0">
                  <c:v>420.71428571428578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8-AA45-9672-25DA1A317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574671"/>
        <c:axId val="2095087855"/>
      </c:barChart>
      <c:lineChart>
        <c:grouping val="standard"/>
        <c:varyColors val="0"/>
        <c:ser>
          <c:idx val="0"/>
          <c:order val="0"/>
          <c:tx>
            <c:strRef>
              <c:f>'S3-Seasonal Average'!$A$2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Average'!$B$2:$BE$2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8-AA45-9672-25DA1A3170B3}"/>
            </c:ext>
          </c:extLst>
        </c:ser>
        <c:ser>
          <c:idx val="1"/>
          <c:order val="1"/>
          <c:tx>
            <c:strRef>
              <c:f>'S3-Seasonal Average'!$A$26</c:f>
              <c:strCache>
                <c:ptCount val="1"/>
                <c:pt idx="0">
                  <c:v>Actual Forecast (Average Seasonal Model)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Average'!$B$26:$BE$26</c:f>
              <c:numCache>
                <c:formatCode>General</c:formatCode>
                <c:ptCount val="56"/>
                <c:pt idx="7">
                  <c:v>1576</c:v>
                </c:pt>
                <c:pt idx="8">
                  <c:v>2299</c:v>
                </c:pt>
                <c:pt idx="9">
                  <c:v>1878</c:v>
                </c:pt>
                <c:pt idx="10">
                  <c:v>1628</c:v>
                </c:pt>
                <c:pt idx="11">
                  <c:v>1555</c:v>
                </c:pt>
                <c:pt idx="12">
                  <c:v>1240</c:v>
                </c:pt>
                <c:pt idx="13">
                  <c:v>864</c:v>
                </c:pt>
                <c:pt idx="14">
                  <c:v>1729</c:v>
                </c:pt>
                <c:pt idx="15">
                  <c:v>2302.5</c:v>
                </c:pt>
                <c:pt idx="16">
                  <c:v>1933</c:v>
                </c:pt>
                <c:pt idx="17">
                  <c:v>1757</c:v>
                </c:pt>
                <c:pt idx="18">
                  <c:v>1460</c:v>
                </c:pt>
                <c:pt idx="19">
                  <c:v>1119</c:v>
                </c:pt>
                <c:pt idx="20">
                  <c:v>958</c:v>
                </c:pt>
                <c:pt idx="21">
                  <c:v>1787.6666666666667</c:v>
                </c:pt>
                <c:pt idx="22">
                  <c:v>2124</c:v>
                </c:pt>
                <c:pt idx="23">
                  <c:v>1925.6666666666667</c:v>
                </c:pt>
                <c:pt idx="24">
                  <c:v>1850</c:v>
                </c:pt>
                <c:pt idx="25">
                  <c:v>1449.3333333333333</c:v>
                </c:pt>
                <c:pt idx="26">
                  <c:v>1082</c:v>
                </c:pt>
                <c:pt idx="27">
                  <c:v>999.33333333333337</c:v>
                </c:pt>
                <c:pt idx="28">
                  <c:v>1821</c:v>
                </c:pt>
                <c:pt idx="29">
                  <c:v>2038</c:v>
                </c:pt>
                <c:pt idx="30">
                  <c:v>1962</c:v>
                </c:pt>
                <c:pt idx="31">
                  <c:v>1840.75</c:v>
                </c:pt>
                <c:pt idx="32">
                  <c:v>1532</c:v>
                </c:pt>
                <c:pt idx="33">
                  <c:v>1120.5</c:v>
                </c:pt>
                <c:pt idx="34">
                  <c:v>1020</c:v>
                </c:pt>
                <c:pt idx="35">
                  <c:v>1812.2</c:v>
                </c:pt>
                <c:pt idx="36">
                  <c:v>1983.6</c:v>
                </c:pt>
                <c:pt idx="37">
                  <c:v>1946.4</c:v>
                </c:pt>
                <c:pt idx="38">
                  <c:v>1828.6</c:v>
                </c:pt>
                <c:pt idx="39">
                  <c:v>1540</c:v>
                </c:pt>
                <c:pt idx="40">
                  <c:v>1086</c:v>
                </c:pt>
                <c:pt idx="41">
                  <c:v>1033</c:v>
                </c:pt>
                <c:pt idx="42">
                  <c:v>1996.3333333333333</c:v>
                </c:pt>
                <c:pt idx="43">
                  <c:v>2119.8333333333335</c:v>
                </c:pt>
                <c:pt idx="44">
                  <c:v>2134.5</c:v>
                </c:pt>
                <c:pt idx="45">
                  <c:v>1980</c:v>
                </c:pt>
                <c:pt idx="46">
                  <c:v>1671.5</c:v>
                </c:pt>
                <c:pt idx="47">
                  <c:v>1161.6666666666667</c:v>
                </c:pt>
                <c:pt idx="48">
                  <c:v>1158.6666666666667</c:v>
                </c:pt>
                <c:pt idx="49">
                  <c:v>2154.2857142857142</c:v>
                </c:pt>
                <c:pt idx="50">
                  <c:v>2160.2857142857142</c:v>
                </c:pt>
                <c:pt idx="51">
                  <c:v>2247.7142857142858</c:v>
                </c:pt>
                <c:pt idx="52">
                  <c:v>2156.1428571428573</c:v>
                </c:pt>
                <c:pt idx="53">
                  <c:v>1746.1428571428571</c:v>
                </c:pt>
                <c:pt idx="54">
                  <c:v>1250</c:v>
                </c:pt>
                <c:pt idx="55">
                  <c:v>1194.2857142857142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8-AA45-9672-25DA1A317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574671"/>
        <c:axId val="2095087855"/>
      </c:lineChart>
      <c:dateAx>
        <c:axId val="209557467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87855"/>
        <c:crosses val="autoZero"/>
        <c:auto val="1"/>
        <c:lblOffset val="100"/>
        <c:baseTimeUnit val="days"/>
      </c:dateAx>
      <c:valAx>
        <c:axId val="209508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7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Naive Index &amp; Weekly Average</a:t>
            </a:r>
            <a:r>
              <a:rPr lang="en-US" b="1" baseline="0"/>
              <a:t> Level Forecasting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Average'!$A$58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Average'!$B$58:$BE$58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23</c:v>
                </c:pt>
                <c:pt idx="15" formatCode="0.0">
                  <c:v>539</c:v>
                </c:pt>
                <c:pt idx="16" formatCode="0.0">
                  <c:v>77</c:v>
                </c:pt>
                <c:pt idx="17" formatCode="0.0">
                  <c:v>149.99999999999977</c:v>
                </c:pt>
                <c:pt idx="18" formatCode="0.0">
                  <c:v>63</c:v>
                </c:pt>
                <c:pt idx="19" formatCode="0.0">
                  <c:v>10.000000000000114</c:v>
                </c:pt>
                <c:pt idx="20" formatCode="0.0">
                  <c:v>30</c:v>
                </c:pt>
                <c:pt idx="21" formatCode="0.0">
                  <c:v>16</c:v>
                </c:pt>
                <c:pt idx="22" formatCode="0.0">
                  <c:v>13</c:v>
                </c:pt>
                <c:pt idx="23" formatCode="0.0">
                  <c:v>160</c:v>
                </c:pt>
                <c:pt idx="24" formatCode="0.0">
                  <c:v>223</c:v>
                </c:pt>
                <c:pt idx="25" formatCode="0.0">
                  <c:v>352</c:v>
                </c:pt>
                <c:pt idx="26" formatCode="0.0">
                  <c:v>228</c:v>
                </c:pt>
                <c:pt idx="27" formatCode="0.0">
                  <c:v>0</c:v>
                </c:pt>
                <c:pt idx="28" formatCode="0.0">
                  <c:v>144</c:v>
                </c:pt>
                <c:pt idx="29" formatCode="0.0">
                  <c:v>14</c:v>
                </c:pt>
                <c:pt idx="30" formatCode="0.0">
                  <c:v>187</c:v>
                </c:pt>
                <c:pt idx="31" formatCode="0.0">
                  <c:v>33.000000000000227</c:v>
                </c:pt>
                <c:pt idx="32" formatCode="0.0">
                  <c:v>208</c:v>
                </c:pt>
                <c:pt idx="33" formatCode="0.0">
                  <c:v>288</c:v>
                </c:pt>
                <c:pt idx="34" formatCode="0.0">
                  <c:v>3</c:v>
                </c:pt>
                <c:pt idx="35" formatCode="0.0">
                  <c:v>1139.9999999999998</c:v>
                </c:pt>
                <c:pt idx="36" formatCode="0.0">
                  <c:v>1034.9999999999998</c:v>
                </c:pt>
                <c:pt idx="37" formatCode="0.0">
                  <c:v>1191</c:v>
                </c:pt>
                <c:pt idx="38" formatCode="0.0">
                  <c:v>957.00000000000023</c:v>
                </c:pt>
                <c:pt idx="39" formatCode="0.0">
                  <c:v>757</c:v>
                </c:pt>
                <c:pt idx="40" formatCode="0.0">
                  <c:v>592</c:v>
                </c:pt>
                <c:pt idx="41" formatCode="0.0">
                  <c:v>702</c:v>
                </c:pt>
                <c:pt idx="42" formatCode="0.0">
                  <c:v>185</c:v>
                </c:pt>
                <c:pt idx="43" formatCode="0.0">
                  <c:v>398</c:v>
                </c:pt>
                <c:pt idx="44" formatCode="0.0">
                  <c:v>148</c:v>
                </c:pt>
                <c:pt idx="45" formatCode="0.0">
                  <c:v>476</c:v>
                </c:pt>
                <c:pt idx="46" formatCode="0.0">
                  <c:v>135</c:v>
                </c:pt>
                <c:pt idx="47" formatCode="0.0">
                  <c:v>240.00000000000023</c:v>
                </c:pt>
                <c:pt idx="48" formatCode="0.0">
                  <c:v>379.00000000000023</c:v>
                </c:pt>
                <c:pt idx="49" formatCode="0.0">
                  <c:v>181.99999999999955</c:v>
                </c:pt>
                <c:pt idx="50" formatCode="0.0">
                  <c:v>244</c:v>
                </c:pt>
                <c:pt idx="51" formatCode="0.0">
                  <c:v>93</c:v>
                </c:pt>
                <c:pt idx="52" formatCode="0.0">
                  <c:v>875</c:v>
                </c:pt>
                <c:pt idx="53" formatCode="0.0">
                  <c:v>756</c:v>
                </c:pt>
                <c:pt idx="54" formatCode="0.0">
                  <c:v>179</c:v>
                </c:pt>
                <c:pt idx="55" formatCode="0.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8-1043-B916-666F97778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594624"/>
        <c:axId val="1711596336"/>
      </c:barChart>
      <c:lineChart>
        <c:grouping val="standard"/>
        <c:varyColors val="0"/>
        <c:ser>
          <c:idx val="0"/>
          <c:order val="0"/>
          <c:tx>
            <c:strRef>
              <c:f>'S3-Seasonal Average'!$A$2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Average'!$B$2:$BE$2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1043-B916-666F9777803E}"/>
            </c:ext>
          </c:extLst>
        </c:ser>
        <c:ser>
          <c:idx val="1"/>
          <c:order val="1"/>
          <c:tx>
            <c:strRef>
              <c:f>'S3-Seasonal Average'!$A$42</c:f>
              <c:strCache>
                <c:ptCount val="1"/>
                <c:pt idx="0">
                  <c:v>Actual Forecast (Naïve Index &amp; Weekly Average Level)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Average'!$B$42:$BE$42</c:f>
              <c:numCache>
                <c:formatCode>General</c:formatCode>
                <c:ptCount val="56"/>
                <c:pt idx="7" formatCode="0">
                  <c:v>1576</c:v>
                </c:pt>
                <c:pt idx="8" formatCode="0">
                  <c:v>2299</c:v>
                </c:pt>
                <c:pt idx="9" formatCode="0">
                  <c:v>1878</c:v>
                </c:pt>
                <c:pt idx="10" formatCode="0">
                  <c:v>1627.9999999999998</c:v>
                </c:pt>
                <c:pt idx="11" formatCode="0">
                  <c:v>1555</c:v>
                </c:pt>
                <c:pt idx="12" formatCode="0">
                  <c:v>1240</c:v>
                </c:pt>
                <c:pt idx="13" formatCode="0">
                  <c:v>864.00000000000011</c:v>
                </c:pt>
                <c:pt idx="14" formatCode="0">
                  <c:v>1882</c:v>
                </c:pt>
                <c:pt idx="15" formatCode="0">
                  <c:v>2306</c:v>
                </c:pt>
                <c:pt idx="16" formatCode="0">
                  <c:v>1988</c:v>
                </c:pt>
                <c:pt idx="17" formatCode="0">
                  <c:v>1886.0000000000002</c:v>
                </c:pt>
                <c:pt idx="18" formatCode="0">
                  <c:v>1365</c:v>
                </c:pt>
                <c:pt idx="19" formatCode="0">
                  <c:v>997.99999999999989</c:v>
                </c:pt>
                <c:pt idx="20" formatCode="0">
                  <c:v>1052</c:v>
                </c:pt>
                <c:pt idx="21" formatCode="0">
                  <c:v>1905</c:v>
                </c:pt>
                <c:pt idx="22" formatCode="0">
                  <c:v>1767</c:v>
                </c:pt>
                <c:pt idx="23" formatCode="0">
                  <c:v>1911</c:v>
                </c:pt>
                <c:pt idx="24" formatCode="0">
                  <c:v>2036</c:v>
                </c:pt>
                <c:pt idx="25" formatCode="0">
                  <c:v>1428</c:v>
                </c:pt>
                <c:pt idx="26" formatCode="0">
                  <c:v>1008</c:v>
                </c:pt>
                <c:pt idx="27" formatCode="0">
                  <c:v>1082</c:v>
                </c:pt>
                <c:pt idx="28" formatCode="0">
                  <c:v>1921</c:v>
                </c:pt>
                <c:pt idx="29" formatCode="0">
                  <c:v>1780</c:v>
                </c:pt>
                <c:pt idx="30" formatCode="0">
                  <c:v>2071</c:v>
                </c:pt>
                <c:pt idx="31" formatCode="0">
                  <c:v>1813.0000000000002</c:v>
                </c:pt>
                <c:pt idx="32" formatCode="0">
                  <c:v>1780</c:v>
                </c:pt>
                <c:pt idx="33" formatCode="0">
                  <c:v>1236</c:v>
                </c:pt>
                <c:pt idx="34" formatCode="0">
                  <c:v>1082</c:v>
                </c:pt>
                <c:pt idx="35" formatCode="0">
                  <c:v>1777.0000000000002</c:v>
                </c:pt>
                <c:pt idx="36" formatCode="0">
                  <c:v>1766.0000000000002</c:v>
                </c:pt>
                <c:pt idx="37" formatCode="0">
                  <c:v>1884</c:v>
                </c:pt>
                <c:pt idx="38" formatCode="0">
                  <c:v>1779.9999999999998</c:v>
                </c:pt>
                <c:pt idx="39" formatCode="0">
                  <c:v>1572</c:v>
                </c:pt>
                <c:pt idx="40" formatCode="0">
                  <c:v>948</c:v>
                </c:pt>
                <c:pt idx="41" formatCode="0">
                  <c:v>1085</c:v>
                </c:pt>
                <c:pt idx="42" formatCode="0">
                  <c:v>2917</c:v>
                </c:pt>
                <c:pt idx="43" formatCode="0">
                  <c:v>2801</c:v>
                </c:pt>
                <c:pt idx="44" formatCode="0">
                  <c:v>3075</c:v>
                </c:pt>
                <c:pt idx="45" formatCode="0">
                  <c:v>2737</c:v>
                </c:pt>
                <c:pt idx="46" formatCode="0">
                  <c:v>2329</c:v>
                </c:pt>
                <c:pt idx="47" formatCode="0">
                  <c:v>1539.9999999999998</c:v>
                </c:pt>
                <c:pt idx="48" formatCode="0">
                  <c:v>1787.0000000000002</c:v>
                </c:pt>
                <c:pt idx="49" formatCode="0">
                  <c:v>3101.9999999999995</c:v>
                </c:pt>
                <c:pt idx="50" formatCode="0">
                  <c:v>2403</c:v>
                </c:pt>
                <c:pt idx="51" formatCode="0">
                  <c:v>2927</c:v>
                </c:pt>
                <c:pt idx="52" formatCode="0">
                  <c:v>3213</c:v>
                </c:pt>
                <c:pt idx="53" formatCode="0">
                  <c:v>2194</c:v>
                </c:pt>
                <c:pt idx="54" formatCode="0">
                  <c:v>1780</c:v>
                </c:pt>
                <c:pt idx="55" formatCode="0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1043-B916-666F97778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594624"/>
        <c:axId val="1711596336"/>
      </c:lineChart>
      <c:dateAx>
        <c:axId val="17115946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96336"/>
        <c:crosses val="autoZero"/>
        <c:auto val="1"/>
        <c:lblOffset val="100"/>
        <c:baseTimeUnit val="days"/>
      </c:dateAx>
      <c:valAx>
        <c:axId val="17115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Index &amp; Average Level Forecasting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Average'!$A$68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Average'!$B$68:$BE$68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144.80833333333339</c:v>
                </c:pt>
                <c:pt idx="15" formatCode="0.0">
                  <c:v>581.00104166666642</c:v>
                </c:pt>
                <c:pt idx="16" formatCode="0.0">
                  <c:v>59.168750000000273</c:v>
                </c:pt>
                <c:pt idx="17" formatCode="0.0">
                  <c:v>246.77916666666647</c:v>
                </c:pt>
                <c:pt idx="18" formatCode="0.0">
                  <c:v>62.776041666666742</c:v>
                </c:pt>
                <c:pt idx="19" formatCode="0.0">
                  <c:v>135.54166666666674</c:v>
                </c:pt>
                <c:pt idx="20" formatCode="0.0">
                  <c:v>106.89999999999998</c:v>
                </c:pt>
                <c:pt idx="21" formatCode="0.0">
                  <c:v>147.3020480574678</c:v>
                </c:pt>
                <c:pt idx="22" formatCode="0.0">
                  <c:v>327.96184258613857</c:v>
                </c:pt>
                <c:pt idx="23" formatCode="0.0">
                  <c:v>159.46429852458527</c:v>
                </c:pt>
                <c:pt idx="24" formatCode="0.0">
                  <c:v>23.144080673423787</c:v>
                </c:pt>
                <c:pt idx="25" formatCode="0.0">
                  <c:v>339.59160198416157</c:v>
                </c:pt>
                <c:pt idx="26" formatCode="0.0">
                  <c:v>160.22342995169083</c:v>
                </c:pt>
                <c:pt idx="27" formatCode="0.0">
                  <c:v>90.524544741657337</c:v>
                </c:pt>
                <c:pt idx="28" formatCode="0.0">
                  <c:v>98.741144779424758</c:v>
                </c:pt>
                <c:pt idx="29" formatCode="0.0">
                  <c:v>337.47972121759813</c:v>
                </c:pt>
                <c:pt idx="30" formatCode="0.0">
                  <c:v>137.68765827897573</c:v>
                </c:pt>
                <c:pt idx="31" formatCode="0.0">
                  <c:v>117.87184348394635</c:v>
                </c:pt>
                <c:pt idx="32" formatCode="0.0">
                  <c:v>6.2691465847428844</c:v>
                </c:pt>
                <c:pt idx="33" formatCode="0.0">
                  <c:v>207.38800852166628</c:v>
                </c:pt>
                <c:pt idx="34" formatCode="0.0">
                  <c:v>34.437522866354129</c:v>
                </c:pt>
                <c:pt idx="35" formatCode="0.0">
                  <c:v>1172.8804411637325</c:v>
                </c:pt>
                <c:pt idx="36" formatCode="0.0">
                  <c:v>890.47241319492082</c:v>
                </c:pt>
                <c:pt idx="37" formatCode="0.0">
                  <c:v>1201.4278037276531</c:v>
                </c:pt>
                <c:pt idx="38" formatCode="0.0">
                  <c:v>975.89580609443283</c:v>
                </c:pt>
                <c:pt idx="39" formatCode="0.0">
                  <c:v>846.11615079180069</c:v>
                </c:pt>
                <c:pt idx="40" formatCode="0.0">
                  <c:v>494.99949340845637</c:v>
                </c:pt>
                <c:pt idx="41" formatCode="0.0">
                  <c:v>792.20789161900348</c:v>
                </c:pt>
                <c:pt idx="42" formatCode="0.0">
                  <c:v>305.55781090762594</c:v>
                </c:pt>
                <c:pt idx="43" formatCode="0.0">
                  <c:v>594.53433737452906</c:v>
                </c:pt>
                <c:pt idx="44" formatCode="0.0">
                  <c:v>67.24958110868738</c:v>
                </c:pt>
                <c:pt idx="45" formatCode="0.0">
                  <c:v>424.05981960930148</c:v>
                </c:pt>
                <c:pt idx="46" formatCode="0.0">
                  <c:v>158.40715813387214</c:v>
                </c:pt>
                <c:pt idx="47" formatCode="0.0">
                  <c:v>139.11682187366887</c:v>
                </c:pt>
                <c:pt idx="48" formatCode="0.0">
                  <c:v>207.54337577350839</c:v>
                </c:pt>
                <c:pt idx="49" formatCode="0.0">
                  <c:v>102.08260110343053</c:v>
                </c:pt>
                <c:pt idx="50" formatCode="0.0">
                  <c:v>241.8302852392867</c:v>
                </c:pt>
                <c:pt idx="51" formatCode="0.0">
                  <c:v>59.102029016760753</c:v>
                </c:pt>
                <c:pt idx="52" formatCode="0.0">
                  <c:v>489.40373983038126</c:v>
                </c:pt>
                <c:pt idx="53" formatCode="0.0">
                  <c:v>638.87712515774774</c:v>
                </c:pt>
                <c:pt idx="54" formatCode="0.0">
                  <c:v>46.744736111970269</c:v>
                </c:pt>
                <c:pt idx="55" formatCode="0.0">
                  <c:v>41.917005903699192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FE44-956E-90061FFF9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9271504"/>
        <c:axId val="376172607"/>
      </c:barChart>
      <c:lineChart>
        <c:grouping val="standard"/>
        <c:varyColors val="0"/>
        <c:ser>
          <c:idx val="0"/>
          <c:order val="0"/>
          <c:tx>
            <c:strRef>
              <c:f>'S3-Seasonal Average'!$A$2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Average'!$B$2:$BE$2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3-FE44-956E-90061FFF938B}"/>
            </c:ext>
          </c:extLst>
        </c:ser>
        <c:ser>
          <c:idx val="1"/>
          <c:order val="1"/>
          <c:tx>
            <c:strRef>
              <c:f>'S3-Seasonal Average'!$A$43</c:f>
              <c:strCache>
                <c:ptCount val="1"/>
                <c:pt idx="0">
                  <c:v>Actual Forecast (Average Index &amp; Average Level)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Average'!$B$43:$BE$43</c:f>
              <c:numCache>
                <c:formatCode>General</c:formatCode>
                <c:ptCount val="56"/>
                <c:pt idx="7" formatCode="0">
                  <c:v>1576</c:v>
                </c:pt>
                <c:pt idx="8" formatCode="0">
                  <c:v>2299</c:v>
                </c:pt>
                <c:pt idx="9" formatCode="0">
                  <c:v>1878</c:v>
                </c:pt>
                <c:pt idx="10" formatCode="0">
                  <c:v>1627.9999999999998</c:v>
                </c:pt>
                <c:pt idx="11" formatCode="0">
                  <c:v>1555</c:v>
                </c:pt>
                <c:pt idx="12" formatCode="0">
                  <c:v>1240</c:v>
                </c:pt>
                <c:pt idx="13" formatCode="0">
                  <c:v>864.00000000000011</c:v>
                </c:pt>
                <c:pt idx="14" formatCode="0">
                  <c:v>1760.1916666666666</c:v>
                </c:pt>
                <c:pt idx="15" formatCode="0">
                  <c:v>2348.0010416666664</c:v>
                </c:pt>
                <c:pt idx="16" formatCode="0">
                  <c:v>1970.1687500000003</c:v>
                </c:pt>
                <c:pt idx="17" formatCode="0">
                  <c:v>1789.2208333333335</c:v>
                </c:pt>
                <c:pt idx="18" formatCode="0">
                  <c:v>1490.7760416666667</c:v>
                </c:pt>
                <c:pt idx="19" formatCode="0">
                  <c:v>1143.5416666666667</c:v>
                </c:pt>
                <c:pt idx="20" formatCode="0">
                  <c:v>975.1</c:v>
                </c:pt>
                <c:pt idx="21" formatCode="0">
                  <c:v>1773.6979519425322</c:v>
                </c:pt>
                <c:pt idx="22" formatCode="0">
                  <c:v>2107.9618425861386</c:v>
                </c:pt>
                <c:pt idx="23" formatCode="0">
                  <c:v>1911.5357014754147</c:v>
                </c:pt>
                <c:pt idx="24" formatCode="0">
                  <c:v>1836.1440806734238</c:v>
                </c:pt>
                <c:pt idx="25" formatCode="0">
                  <c:v>1440.4083980158384</c:v>
                </c:pt>
                <c:pt idx="26" formatCode="0">
                  <c:v>1075.7765700483092</c:v>
                </c:pt>
                <c:pt idx="27" formatCode="0">
                  <c:v>991.47545525834266</c:v>
                </c:pt>
                <c:pt idx="28" formatCode="0">
                  <c:v>1875.7411447794248</c:v>
                </c:pt>
                <c:pt idx="29" formatCode="0">
                  <c:v>2103.4797212175981</c:v>
                </c:pt>
                <c:pt idx="30" formatCode="0">
                  <c:v>2021.6876582789757</c:v>
                </c:pt>
                <c:pt idx="31" formatCode="0">
                  <c:v>1897.8718434839463</c:v>
                </c:pt>
                <c:pt idx="32" formatCode="0">
                  <c:v>1578.2691465847429</c:v>
                </c:pt>
                <c:pt idx="33" formatCode="0">
                  <c:v>1155.3880085216663</c:v>
                </c:pt>
                <c:pt idx="34" formatCode="0">
                  <c:v>1050.5624771336459</c:v>
                </c:pt>
                <c:pt idx="35" formatCode="0">
                  <c:v>1744.1195588362675</c:v>
                </c:pt>
                <c:pt idx="36" formatCode="0">
                  <c:v>1910.5275868050792</c:v>
                </c:pt>
                <c:pt idx="37" formatCode="0">
                  <c:v>1873.5721962723469</c:v>
                </c:pt>
                <c:pt idx="38" formatCode="0">
                  <c:v>1761.1041939055672</c:v>
                </c:pt>
                <c:pt idx="39" formatCode="0">
                  <c:v>1482.8838492081993</c:v>
                </c:pt>
                <c:pt idx="40" formatCode="0">
                  <c:v>1045.0005065915436</c:v>
                </c:pt>
                <c:pt idx="41" formatCode="0">
                  <c:v>994.79210838099652</c:v>
                </c:pt>
                <c:pt idx="42" formatCode="0">
                  <c:v>2796.4421890923741</c:v>
                </c:pt>
                <c:pt idx="43" formatCode="0">
                  <c:v>2997.5343373745291</c:v>
                </c:pt>
                <c:pt idx="44" formatCode="0">
                  <c:v>2994.2495811086874</c:v>
                </c:pt>
                <c:pt idx="45" formatCode="0">
                  <c:v>2788.9401803906985</c:v>
                </c:pt>
                <c:pt idx="46" formatCode="0">
                  <c:v>2352.4071581338721</c:v>
                </c:pt>
                <c:pt idx="47" formatCode="0">
                  <c:v>1640.8831781263311</c:v>
                </c:pt>
                <c:pt idx="48" formatCode="0">
                  <c:v>1615.5433757735084</c:v>
                </c:pt>
                <c:pt idx="49" formatCode="0">
                  <c:v>2817.9173988965695</c:v>
                </c:pt>
                <c:pt idx="50" formatCode="0">
                  <c:v>2888.8302852392867</c:v>
                </c:pt>
                <c:pt idx="51" formatCode="0">
                  <c:v>2960.8979709832392</c:v>
                </c:pt>
                <c:pt idx="52" formatCode="0">
                  <c:v>2827.4037398303813</c:v>
                </c:pt>
                <c:pt idx="53" formatCode="0">
                  <c:v>2311.1228748422523</c:v>
                </c:pt>
                <c:pt idx="54" formatCode="0">
                  <c:v>1647.7447361119703</c:v>
                </c:pt>
                <c:pt idx="55" formatCode="0">
                  <c:v>1573.0829940963008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3-FE44-956E-90061FFF9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271504"/>
        <c:axId val="376172607"/>
      </c:lineChart>
      <c:dateAx>
        <c:axId val="13592715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72607"/>
        <c:crosses val="autoZero"/>
        <c:auto val="1"/>
        <c:lblOffset val="100"/>
        <c:baseTimeUnit val="days"/>
      </c:dateAx>
      <c:valAx>
        <c:axId val="3761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7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Index &amp; MA7 Level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Average'!$A$78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Average'!$B$78:$BE$78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154.15869565217372</c:v>
                </c:pt>
                <c:pt idx="15" formatCode="0.0">
                  <c:v>568.08999094202863</c:v>
                </c:pt>
                <c:pt idx="16" formatCode="0.0">
                  <c:v>57.977989130434935</c:v>
                </c:pt>
                <c:pt idx="17" formatCode="0.0">
                  <c:v>228.78858695652184</c:v>
                </c:pt>
                <c:pt idx="18" formatCode="0.0">
                  <c:v>66.579030797101268</c:v>
                </c:pt>
                <c:pt idx="19" formatCode="0.0">
                  <c:v>124.98369565217376</c:v>
                </c:pt>
                <c:pt idx="20" formatCode="0.0">
                  <c:v>106.89999999999998</c:v>
                </c:pt>
                <c:pt idx="21" formatCode="0.0">
                  <c:v>147.24258182031849</c:v>
                </c:pt>
                <c:pt idx="22" formatCode="0.0">
                  <c:v>321.33736081936422</c:v>
                </c:pt>
                <c:pt idx="23" formatCode="0.0">
                  <c:v>193.67090345497218</c:v>
                </c:pt>
                <c:pt idx="24" formatCode="0.0">
                  <c:v>24.866331241213402</c:v>
                </c:pt>
                <c:pt idx="25" formatCode="0.0">
                  <c:v>303.54830415788456</c:v>
                </c:pt>
                <c:pt idx="26" formatCode="0.0">
                  <c:v>112.58559297173974</c:v>
                </c:pt>
                <c:pt idx="27" formatCode="0.0">
                  <c:v>115.39850425488646</c:v>
                </c:pt>
                <c:pt idx="28" formatCode="0.0">
                  <c:v>38.3934578297401</c:v>
                </c:pt>
                <c:pt idx="29" formatCode="0.0">
                  <c:v>369.62608073250794</c:v>
                </c:pt>
                <c:pt idx="30" formatCode="0.0">
                  <c:v>90.166101384508011</c:v>
                </c:pt>
                <c:pt idx="31" formatCode="0.0">
                  <c:v>39.617398565451367</c:v>
                </c:pt>
                <c:pt idx="32" formatCode="0.0">
                  <c:v>28.566295023108296</c:v>
                </c:pt>
                <c:pt idx="33" formatCode="0.0">
                  <c:v>277.60525050068986</c:v>
                </c:pt>
                <c:pt idx="34" formatCode="0.0">
                  <c:v>84.271592458457349</c:v>
                </c:pt>
                <c:pt idx="35" formatCode="0.0">
                  <c:v>1160.3180946738428</c:v>
                </c:pt>
                <c:pt idx="36" formatCode="0.0">
                  <c:v>610.95685290684651</c:v>
                </c:pt>
                <c:pt idx="37" formatCode="0.0">
                  <c:v>1136.5811003445563</c:v>
                </c:pt>
                <c:pt idx="38" formatCode="0.0">
                  <c:v>978.15101240947752</c:v>
                </c:pt>
                <c:pt idx="39" formatCode="0.0">
                  <c:v>808.92979695578924</c:v>
                </c:pt>
                <c:pt idx="40" formatCode="0.0">
                  <c:v>445.18880829735872</c:v>
                </c:pt>
                <c:pt idx="41" formatCode="0.0">
                  <c:v>844.14544703080026</c:v>
                </c:pt>
                <c:pt idx="42" formatCode="0.0">
                  <c:v>1103.043825363992</c:v>
                </c:pt>
                <c:pt idx="43" formatCode="0.0">
                  <c:v>200.02277813149249</c:v>
                </c:pt>
                <c:pt idx="44" formatCode="0.0">
                  <c:v>383.18837896323157</c:v>
                </c:pt>
                <c:pt idx="45" formatCode="0.0">
                  <c:v>799.28097356486251</c:v>
                </c:pt>
                <c:pt idx="46" formatCode="0.0">
                  <c:v>4.1525487268095276</c:v>
                </c:pt>
                <c:pt idx="47" formatCode="0.0">
                  <c:v>94.672431859900371</c:v>
                </c:pt>
                <c:pt idx="48" formatCode="0.0">
                  <c:v>101.08903816703651</c:v>
                </c:pt>
                <c:pt idx="49" formatCode="0.0">
                  <c:v>177.23165319355212</c:v>
                </c:pt>
                <c:pt idx="50" formatCode="0.0">
                  <c:v>575.27862249701229</c:v>
                </c:pt>
                <c:pt idx="51" formatCode="0.0">
                  <c:v>104.42108832995382</c:v>
                </c:pt>
                <c:pt idx="52" formatCode="0.0">
                  <c:v>433.19437570890659</c:v>
                </c:pt>
                <c:pt idx="53" formatCode="0.0">
                  <c:v>630.5591003569707</c:v>
                </c:pt>
                <c:pt idx="54" formatCode="0.0">
                  <c:v>200.5734873411966</c:v>
                </c:pt>
                <c:pt idx="55" formatCode="0.0">
                  <c:v>171.65365189198087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98-0B4A-BB2F-C09D6766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5936816"/>
        <c:axId val="1535938528"/>
      </c:barChart>
      <c:lineChart>
        <c:grouping val="standard"/>
        <c:varyColors val="0"/>
        <c:ser>
          <c:idx val="0"/>
          <c:order val="0"/>
          <c:tx>
            <c:strRef>
              <c:f>'S3-Seasonal Average'!$A$2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Average'!$B$2:$BE$2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8-0B4A-BB2F-C09D676605F7}"/>
            </c:ext>
          </c:extLst>
        </c:ser>
        <c:ser>
          <c:idx val="1"/>
          <c:order val="1"/>
          <c:tx>
            <c:strRef>
              <c:f>'S3-Seasonal Average'!$A$44</c:f>
              <c:strCache>
                <c:ptCount val="1"/>
                <c:pt idx="0">
                  <c:v>Actual Forecast (Average Index &amp; MA7 Level)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Average'!$B$1:$BE$1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Average'!$B$44:$BE$44</c:f>
              <c:numCache>
                <c:formatCode>General</c:formatCode>
                <c:ptCount val="56"/>
                <c:pt idx="7" formatCode="0">
                  <c:v>1576</c:v>
                </c:pt>
                <c:pt idx="8" formatCode="0">
                  <c:v>2299</c:v>
                </c:pt>
                <c:pt idx="9" formatCode="0">
                  <c:v>1878</c:v>
                </c:pt>
                <c:pt idx="10" formatCode="0">
                  <c:v>1627.9999999999998</c:v>
                </c:pt>
                <c:pt idx="11" formatCode="0">
                  <c:v>1555</c:v>
                </c:pt>
                <c:pt idx="12" formatCode="0">
                  <c:v>1240</c:v>
                </c:pt>
                <c:pt idx="13" formatCode="0">
                  <c:v>864.00000000000011</c:v>
                </c:pt>
                <c:pt idx="14" formatCode="0">
                  <c:v>1750.8413043478263</c:v>
                </c:pt>
                <c:pt idx="15" formatCode="0">
                  <c:v>2335.0899909420286</c:v>
                </c:pt>
                <c:pt idx="16" formatCode="0">
                  <c:v>1968.9779891304349</c:v>
                </c:pt>
                <c:pt idx="17" formatCode="0">
                  <c:v>1807.2114130434782</c:v>
                </c:pt>
                <c:pt idx="18" formatCode="0">
                  <c:v>1494.5790307971013</c:v>
                </c:pt>
                <c:pt idx="19" formatCode="0">
                  <c:v>1132.9836956521738</c:v>
                </c:pt>
                <c:pt idx="20" formatCode="0">
                  <c:v>975.1</c:v>
                </c:pt>
                <c:pt idx="21" formatCode="0">
                  <c:v>1773.7574181796815</c:v>
                </c:pt>
                <c:pt idx="22" formatCode="0">
                  <c:v>2101.3373608193642</c:v>
                </c:pt>
                <c:pt idx="23" formatCode="0">
                  <c:v>1877.3290965450278</c:v>
                </c:pt>
                <c:pt idx="24" formatCode="0">
                  <c:v>1788.1336687587866</c:v>
                </c:pt>
                <c:pt idx="25" formatCode="0">
                  <c:v>1476.4516958421154</c:v>
                </c:pt>
                <c:pt idx="26" formatCode="0">
                  <c:v>1123.4144070282603</c:v>
                </c:pt>
                <c:pt idx="27" formatCode="0">
                  <c:v>966.60149574511354</c:v>
                </c:pt>
                <c:pt idx="28" formatCode="0">
                  <c:v>1738.6065421702599</c:v>
                </c:pt>
                <c:pt idx="29" formatCode="0">
                  <c:v>2135.6260807325079</c:v>
                </c:pt>
                <c:pt idx="30" formatCode="0">
                  <c:v>1974.166101384508</c:v>
                </c:pt>
                <c:pt idx="31" formatCode="0">
                  <c:v>1740.3826014345486</c:v>
                </c:pt>
                <c:pt idx="32" formatCode="0">
                  <c:v>1600.5662950231083</c:v>
                </c:pt>
                <c:pt idx="33" formatCode="0">
                  <c:v>1225.6052505006899</c:v>
                </c:pt>
                <c:pt idx="34" formatCode="0">
                  <c:v>1000.7284075415427</c:v>
                </c:pt>
                <c:pt idx="35" formatCode="0">
                  <c:v>1756.6819053261572</c:v>
                </c:pt>
                <c:pt idx="36" formatCode="0">
                  <c:v>2190.0431470931535</c:v>
                </c:pt>
                <c:pt idx="37" formatCode="0">
                  <c:v>1938.4188996554437</c:v>
                </c:pt>
                <c:pt idx="38" formatCode="0">
                  <c:v>1758.8489875905225</c:v>
                </c:pt>
                <c:pt idx="39" formatCode="0">
                  <c:v>1520.0702030442108</c:v>
                </c:pt>
                <c:pt idx="40" formatCode="0">
                  <c:v>1094.8111917026413</c:v>
                </c:pt>
                <c:pt idx="41" formatCode="0">
                  <c:v>942.85455296919974</c:v>
                </c:pt>
                <c:pt idx="42" formatCode="0">
                  <c:v>1998.956174636008</c:v>
                </c:pt>
                <c:pt idx="43" formatCode="0">
                  <c:v>2603.0227781314925</c:v>
                </c:pt>
                <c:pt idx="44" formatCode="0">
                  <c:v>2543.8116210367684</c:v>
                </c:pt>
                <c:pt idx="45" formatCode="0">
                  <c:v>2413.7190264351375</c:v>
                </c:pt>
                <c:pt idx="46" formatCode="0">
                  <c:v>2189.8474512731905</c:v>
                </c:pt>
                <c:pt idx="47" formatCode="0">
                  <c:v>1685.3275681400996</c:v>
                </c:pt>
                <c:pt idx="48" formatCode="0">
                  <c:v>1509.0890381670365</c:v>
                </c:pt>
                <c:pt idx="49" formatCode="0">
                  <c:v>2742.7683468064479</c:v>
                </c:pt>
                <c:pt idx="50" formatCode="0">
                  <c:v>3222.2786224970123</c:v>
                </c:pt>
                <c:pt idx="51" formatCode="0">
                  <c:v>2915.5789116700462</c:v>
                </c:pt>
                <c:pt idx="52" formatCode="0">
                  <c:v>2771.1943757089066</c:v>
                </c:pt>
                <c:pt idx="53" formatCode="0">
                  <c:v>2319.4408996430293</c:v>
                </c:pt>
                <c:pt idx="54" formatCode="0">
                  <c:v>1801.5734873411966</c:v>
                </c:pt>
                <c:pt idx="55" formatCode="0">
                  <c:v>1443.3463481080191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8-0B4A-BB2F-C09D6766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936816"/>
        <c:axId val="1535938528"/>
      </c:lineChart>
      <c:dateAx>
        <c:axId val="15359368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38528"/>
        <c:crosses val="autoZero"/>
        <c:auto val="1"/>
        <c:lblOffset val="100"/>
        <c:baseTimeUnit val="days"/>
      </c:dateAx>
      <c:valAx>
        <c:axId val="15359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tx1"/>
                </a:solidFill>
                <a:latin typeface="+mn-lt"/>
                <a:ea typeface="Segoe UI Symbol" panose="020B0502040204020203" pitchFamily="34" charset="0"/>
              </a:rPr>
              <a:t>Seasonal Exponential Smoothing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Exp. Smoothing'!$B$46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Smoothing'!$B$46:$BF$46</c:f>
              <c:numCache>
                <c:formatCode>General</c:formatCode>
                <c:ptCount val="57"/>
                <c:pt idx="0">
                  <c:v>0</c:v>
                </c:pt>
                <c:pt idx="8" formatCode="0.0">
                  <c:v>306</c:v>
                </c:pt>
                <c:pt idx="9" formatCode="0.0">
                  <c:v>126.91383248730972</c:v>
                </c:pt>
                <c:pt idx="10" formatCode="0.0">
                  <c:v>31.71077677780886</c:v>
                </c:pt>
                <c:pt idx="11" formatCode="0.0">
                  <c:v>181.88583664323301</c:v>
                </c:pt>
                <c:pt idx="12" formatCode="0.0">
                  <c:v>314.82018846059032</c:v>
                </c:pt>
                <c:pt idx="13" formatCode="0.0">
                  <c:v>266.22117272269611</c:v>
                </c:pt>
                <c:pt idx="14" formatCode="0.0">
                  <c:v>226.77212478815602</c:v>
                </c:pt>
                <c:pt idx="15" formatCode="0.0">
                  <c:v>202.38589687324748</c:v>
                </c:pt>
                <c:pt idx="16" formatCode="0.0">
                  <c:v>662.65460927994991</c:v>
                </c:pt>
                <c:pt idx="17" formatCode="0.0">
                  <c:v>57.394636003972892</c:v>
                </c:pt>
                <c:pt idx="18" formatCode="0.0">
                  <c:v>379.67379612834793</c:v>
                </c:pt>
                <c:pt idx="19" formatCode="0.0">
                  <c:v>140.83651732411772</c:v>
                </c:pt>
                <c:pt idx="20" formatCode="0.0">
                  <c:v>201.12663990339047</c:v>
                </c:pt>
                <c:pt idx="21" formatCode="0.0">
                  <c:v>182.2148546603803</c:v>
                </c:pt>
                <c:pt idx="22" formatCode="0.0">
                  <c:v>160.1200945431101</c:v>
                </c:pt>
                <c:pt idx="23" formatCode="0.0">
                  <c:v>467.86809610524324</c:v>
                </c:pt>
                <c:pt idx="24" formatCode="0.0">
                  <c:v>168.25165811683337</c:v>
                </c:pt>
                <c:pt idx="25" formatCode="0.0">
                  <c:v>6.4316328774400517</c:v>
                </c:pt>
                <c:pt idx="26" formatCode="0.0">
                  <c:v>291.68087178749192</c:v>
                </c:pt>
                <c:pt idx="27" formatCode="0.0">
                  <c:v>13.786356013311888</c:v>
                </c:pt>
                <c:pt idx="28" formatCode="0.0">
                  <c:v>31.477250460558253</c:v>
                </c:pt>
                <c:pt idx="29" formatCode="0.0">
                  <c:v>131.68296073686429</c:v>
                </c:pt>
                <c:pt idx="30" formatCode="0.0">
                  <c:v>383.79652916978057</c:v>
                </c:pt>
                <c:pt idx="31" formatCode="0.0">
                  <c:v>99.634676569206704</c:v>
                </c:pt>
                <c:pt idx="32" formatCode="0.0">
                  <c:v>8.7568459160982002</c:v>
                </c:pt>
                <c:pt idx="33" formatCode="0.0">
                  <c:v>47.305188571523786</c:v>
                </c:pt>
                <c:pt idx="34" formatCode="0.0">
                  <c:v>196.9311949655737</c:v>
                </c:pt>
                <c:pt idx="35" formatCode="0.0">
                  <c:v>150.63711431492641</c:v>
                </c:pt>
                <c:pt idx="36" formatCode="0.0">
                  <c:v>1196.0806654841035</c:v>
                </c:pt>
                <c:pt idx="37" formatCode="0.0">
                  <c:v>479.49973326053532</c:v>
                </c:pt>
                <c:pt idx="38" formatCode="0.0">
                  <c:v>586.49914408923087</c:v>
                </c:pt>
                <c:pt idx="39" formatCode="0.0">
                  <c:v>287.91739101856047</c:v>
                </c:pt>
                <c:pt idx="40" formatCode="0.0">
                  <c:v>135.93722480895212</c:v>
                </c:pt>
                <c:pt idx="41" formatCode="0.0">
                  <c:v>36.260780998593873</c:v>
                </c:pt>
                <c:pt idx="42" formatCode="0.0">
                  <c:v>324.26212319801311</c:v>
                </c:pt>
                <c:pt idx="43" formatCode="0.0">
                  <c:v>88.663291201799893</c:v>
                </c:pt>
                <c:pt idx="44" formatCode="0.0">
                  <c:v>712.9599283877933</c:v>
                </c:pt>
                <c:pt idx="45" formatCode="0.0">
                  <c:v>19.877466367181569</c:v>
                </c:pt>
                <c:pt idx="46" formatCode="0.0">
                  <c:v>576.76447494002923</c:v>
                </c:pt>
                <c:pt idx="47" formatCode="0.0">
                  <c:v>205.3681626254488</c:v>
                </c:pt>
                <c:pt idx="48" formatCode="0.0">
                  <c:v>163.87163953713889</c:v>
                </c:pt>
                <c:pt idx="49" formatCode="0.0">
                  <c:v>236.6724477845296</c:v>
                </c:pt>
                <c:pt idx="50" formatCode="0.0">
                  <c:v>6.9173039651250292</c:v>
                </c:pt>
                <c:pt idx="51" formatCode="0.0">
                  <c:v>139.30155966886377</c:v>
                </c:pt>
                <c:pt idx="52" formatCode="0.0">
                  <c:v>14.462766207904224</c:v>
                </c:pt>
                <c:pt idx="53" formatCode="0.0">
                  <c:v>496.37479527599908</c:v>
                </c:pt>
                <c:pt idx="54" formatCode="0.0">
                  <c:v>694.72960885487464</c:v>
                </c:pt>
                <c:pt idx="55" formatCode="0.0">
                  <c:v>30.813358093408169</c:v>
                </c:pt>
                <c:pt idx="56" formatCode="0.0">
                  <c:v>99.314036258039096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DB-494E-B075-1BD601A00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6029792"/>
        <c:axId val="1875654560"/>
      </c:barChart>
      <c:lineChart>
        <c:grouping val="standard"/>
        <c:varyColors val="0"/>
        <c:ser>
          <c:idx val="0"/>
          <c:order val="0"/>
          <c:tx>
            <c:strRef>
              <c:f>'S3-Seasonal Exp. Smoothing'!$B$2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Smoothing'!$C$2:$BF$2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B-494E-B075-1BD601A00851}"/>
            </c:ext>
          </c:extLst>
        </c:ser>
        <c:ser>
          <c:idx val="1"/>
          <c:order val="1"/>
          <c:tx>
            <c:strRef>
              <c:f>'S3-Seasonal Exp. Smoothing'!$B$39</c:f>
              <c:strCache>
                <c:ptCount val="1"/>
                <c:pt idx="0">
                  <c:v>Actual Forecast (Seasonal 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Smoothing'!$C$39:$BF$39</c:f>
              <c:numCache>
                <c:formatCode>General</c:formatCode>
                <c:ptCount val="56"/>
                <c:pt idx="7" formatCode="0.0">
                  <c:v>1576</c:v>
                </c:pt>
                <c:pt idx="8" formatCode="0.0">
                  <c:v>2432.9138324873097</c:v>
                </c:pt>
                <c:pt idx="9" formatCode="0.0">
                  <c:v>1956.2892232221911</c:v>
                </c:pt>
                <c:pt idx="10" formatCode="0.0">
                  <c:v>1704.114163356767</c:v>
                </c:pt>
                <c:pt idx="11" formatCode="0.0">
                  <c:v>1679.8201884605903</c:v>
                </c:pt>
                <c:pt idx="12" formatCode="0.0">
                  <c:v>1264.2211727226961</c:v>
                </c:pt>
                <c:pt idx="13" formatCode="0.0">
                  <c:v>825.22787521184398</c:v>
                </c:pt>
                <c:pt idx="14" formatCode="0.0">
                  <c:v>1702.6141031267525</c:v>
                </c:pt>
                <c:pt idx="15" formatCode="0.0">
                  <c:v>2429.6546092799499</c:v>
                </c:pt>
                <c:pt idx="16" formatCode="0.0">
                  <c:v>1853.6053639960271</c:v>
                </c:pt>
                <c:pt idx="17" formatCode="0.0">
                  <c:v>1656.3262038716521</c:v>
                </c:pt>
                <c:pt idx="18" formatCode="0.0">
                  <c:v>1568.8365173241177</c:v>
                </c:pt>
                <c:pt idx="19" formatCode="0.0">
                  <c:v>1209.1266399033905</c:v>
                </c:pt>
                <c:pt idx="20" formatCode="0.0">
                  <c:v>899.7851453396197</c:v>
                </c:pt>
                <c:pt idx="21" formatCode="0.0">
                  <c:v>1760.8799054568899</c:v>
                </c:pt>
                <c:pt idx="22" formatCode="0.0">
                  <c:v>2247.8680961052432</c:v>
                </c:pt>
                <c:pt idx="23" formatCode="0.0">
                  <c:v>1902.7483418831666</c:v>
                </c:pt>
                <c:pt idx="24" formatCode="0.0">
                  <c:v>1806.5683671225599</c:v>
                </c:pt>
                <c:pt idx="25" formatCode="0.0">
                  <c:v>1488.3191282125081</c:v>
                </c:pt>
                <c:pt idx="26" formatCode="0.0">
                  <c:v>1222.2136439866881</c:v>
                </c:pt>
                <c:pt idx="27" formatCode="0.0">
                  <c:v>1050.5227495394417</c:v>
                </c:pt>
                <c:pt idx="28" formatCode="0.0">
                  <c:v>1908.6829607368643</c:v>
                </c:pt>
                <c:pt idx="29" formatCode="0.0">
                  <c:v>2149.7965291697806</c:v>
                </c:pt>
                <c:pt idx="30" formatCode="0.0">
                  <c:v>1983.6346765692067</c:v>
                </c:pt>
                <c:pt idx="31" formatCode="0.0">
                  <c:v>1771.2431540839018</c:v>
                </c:pt>
                <c:pt idx="32" formatCode="0.0">
                  <c:v>1524.6948114284762</c:v>
                </c:pt>
                <c:pt idx="33" formatCode="0.0">
                  <c:v>1144.9311949655737</c:v>
                </c:pt>
                <c:pt idx="34" formatCode="0.0">
                  <c:v>934.36288568507359</c:v>
                </c:pt>
                <c:pt idx="35" formatCode="0.0">
                  <c:v>1720.9193345158965</c:v>
                </c:pt>
                <c:pt idx="36" formatCode="0.0">
                  <c:v>2321.5002667394647</c:v>
                </c:pt>
                <c:pt idx="37" formatCode="0.0">
                  <c:v>2488.5008559107691</c:v>
                </c:pt>
                <c:pt idx="38" formatCode="0.0">
                  <c:v>2449.0826089814395</c:v>
                </c:pt>
                <c:pt idx="39" formatCode="0.0">
                  <c:v>2193.0627751910479</c:v>
                </c:pt>
                <c:pt idx="40" formatCode="0.0">
                  <c:v>1576.2607809985939</c:v>
                </c:pt>
                <c:pt idx="41" formatCode="0.0">
                  <c:v>1462.7378768019869</c:v>
                </c:pt>
                <c:pt idx="42" formatCode="0.0">
                  <c:v>3013.3367087982001</c:v>
                </c:pt>
                <c:pt idx="43" formatCode="0.0">
                  <c:v>3115.9599283877933</c:v>
                </c:pt>
                <c:pt idx="44" formatCode="0.0">
                  <c:v>2946.8774663671816</c:v>
                </c:pt>
                <c:pt idx="45" formatCode="0.0">
                  <c:v>2636.2355250599708</c:v>
                </c:pt>
                <c:pt idx="46" formatCode="0.0">
                  <c:v>2399.3681626254488</c:v>
                </c:pt>
                <c:pt idx="47" formatCode="0.0">
                  <c:v>1616.1283604628611</c:v>
                </c:pt>
                <c:pt idx="48" formatCode="0.0">
                  <c:v>1644.6724477845296</c:v>
                </c:pt>
                <c:pt idx="49" formatCode="0.0">
                  <c:v>2913.082696034875</c:v>
                </c:pt>
                <c:pt idx="50" formatCode="0.0">
                  <c:v>2786.3015596688638</c:v>
                </c:pt>
                <c:pt idx="51" formatCode="0.0">
                  <c:v>3005.5372337920958</c:v>
                </c:pt>
                <c:pt idx="52" formatCode="0.0">
                  <c:v>2834.3747952759991</c:v>
                </c:pt>
                <c:pt idx="53" formatCode="0.0">
                  <c:v>2255.2703911451254</c:v>
                </c:pt>
                <c:pt idx="54" formatCode="0.0">
                  <c:v>1631.8133580934082</c:v>
                </c:pt>
                <c:pt idx="55" formatCode="0.0">
                  <c:v>1515.6859637419609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B-494E-B075-1BD601A00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029792"/>
        <c:axId val="1875654560"/>
      </c:lineChart>
      <c:dateAx>
        <c:axId val="15260297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654560"/>
        <c:crosses val="autoZero"/>
        <c:auto val="1"/>
        <c:lblOffset val="100"/>
        <c:baseTimeUnit val="days"/>
      </c:dateAx>
      <c:valAx>
        <c:axId val="18756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tx1"/>
                </a:solidFill>
                <a:latin typeface="+mn-lt"/>
                <a:ea typeface="Segoe UI Symbol" panose="020B0502040204020203" pitchFamily="34" charset="0"/>
              </a:rPr>
              <a:t>Season-Trend Exponential Smoothing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'S3-Seasonal Exp. Smoothing'!$B$57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Smoothing'!$B$57:$BF$57</c:f>
              <c:numCache>
                <c:formatCode>General</c:formatCode>
                <c:ptCount val="57"/>
                <c:pt idx="0">
                  <c:v>0</c:v>
                </c:pt>
                <c:pt idx="8" formatCode="0.0">
                  <c:v>262.31739130434767</c:v>
                </c:pt>
                <c:pt idx="9" formatCode="0.0">
                  <c:v>350.03886062679339</c:v>
                </c:pt>
                <c:pt idx="10" formatCode="0.0">
                  <c:v>93.405242846942656</c:v>
                </c:pt>
                <c:pt idx="11" formatCode="0.0">
                  <c:v>82.821069890614126</c:v>
                </c:pt>
                <c:pt idx="12" formatCode="0.0">
                  <c:v>442.3610140873443</c:v>
                </c:pt>
                <c:pt idx="13" formatCode="0.0">
                  <c:v>267.85889631738223</c:v>
                </c:pt>
                <c:pt idx="14" formatCode="0.0">
                  <c:v>281.27140851252341</c:v>
                </c:pt>
                <c:pt idx="15" formatCode="0.0">
                  <c:v>148.52524330782489</c:v>
                </c:pt>
                <c:pt idx="16" formatCode="0.0">
                  <c:v>726.29156081450537</c:v>
                </c:pt>
                <c:pt idx="17" formatCode="0.0">
                  <c:v>141.67265626192034</c:v>
                </c:pt>
                <c:pt idx="18" formatCode="0.0">
                  <c:v>404.26822157801712</c:v>
                </c:pt>
                <c:pt idx="19" formatCode="0.0">
                  <c:v>184.15974891275414</c:v>
                </c:pt>
                <c:pt idx="20" formatCode="0.0">
                  <c:v>228.99752256805164</c:v>
                </c:pt>
                <c:pt idx="21" formatCode="0.0">
                  <c:v>174.29985287898501</c:v>
                </c:pt>
                <c:pt idx="22" formatCode="0.0">
                  <c:v>133.76176392500065</c:v>
                </c:pt>
                <c:pt idx="23" formatCode="0.0">
                  <c:v>419.12573399898156</c:v>
                </c:pt>
                <c:pt idx="24" formatCode="0.0">
                  <c:v>178.09760146616418</c:v>
                </c:pt>
                <c:pt idx="25" formatCode="0.0">
                  <c:v>29.867563244708435</c:v>
                </c:pt>
                <c:pt idx="26" formatCode="0.0">
                  <c:v>353.08204669173074</c:v>
                </c:pt>
                <c:pt idx="27" formatCode="0.0">
                  <c:v>54.722979542990515</c:v>
                </c:pt>
                <c:pt idx="28" formatCode="0.0">
                  <c:v>99.275722219866111</c:v>
                </c:pt>
                <c:pt idx="29" formatCode="0.0">
                  <c:v>204.24850908433791</c:v>
                </c:pt>
                <c:pt idx="30" formatCode="0.0">
                  <c:v>250.68976926991763</c:v>
                </c:pt>
                <c:pt idx="31" formatCode="0.0">
                  <c:v>75.17924123564535</c:v>
                </c:pt>
                <c:pt idx="32" formatCode="0.0">
                  <c:v>84.035346695293356</c:v>
                </c:pt>
                <c:pt idx="33" formatCode="0.0">
                  <c:v>138.73666263570908</c:v>
                </c:pt>
                <c:pt idx="34" formatCode="0.0">
                  <c:v>143.13656782029784</c:v>
                </c:pt>
                <c:pt idx="35" formatCode="0.0">
                  <c:v>178.02616252789278</c:v>
                </c:pt>
                <c:pt idx="36" formatCode="0.0">
                  <c:v>1199.4439282257601</c:v>
                </c:pt>
                <c:pt idx="37" formatCode="0.0">
                  <c:v>200.67591069778655</c:v>
                </c:pt>
                <c:pt idx="38" formatCode="0.0">
                  <c:v>7.6417006019087239</c:v>
                </c:pt>
                <c:pt idx="39" formatCode="0.0">
                  <c:v>254.27498321250187</c:v>
                </c:pt>
                <c:pt idx="40" formatCode="0.0">
                  <c:v>201.4550182340181</c:v>
                </c:pt>
                <c:pt idx="41" formatCode="0.0">
                  <c:v>168.46707144945685</c:v>
                </c:pt>
                <c:pt idx="42" formatCode="0.0">
                  <c:v>127.60954253678165</c:v>
                </c:pt>
                <c:pt idx="43" formatCode="0.0">
                  <c:v>254.00773830458047</c:v>
                </c:pt>
                <c:pt idx="44" formatCode="0.0">
                  <c:v>714.34715677424992</c:v>
                </c:pt>
                <c:pt idx="45" formatCode="0.0">
                  <c:v>9.8757991130069058</c:v>
                </c:pt>
                <c:pt idx="46" formatCode="0.0">
                  <c:v>584.90943768944999</c:v>
                </c:pt>
                <c:pt idx="47" formatCode="0.0">
                  <c:v>334.06762806375991</c:v>
                </c:pt>
                <c:pt idx="48" formatCode="0.0">
                  <c:v>174.71809030440113</c:v>
                </c:pt>
                <c:pt idx="49" formatCode="0.0">
                  <c:v>402.16262631187055</c:v>
                </c:pt>
                <c:pt idx="50" formatCode="0.0">
                  <c:v>34.605002387474542</c:v>
                </c:pt>
                <c:pt idx="51" formatCode="0.0">
                  <c:v>91.67220203701072</c:v>
                </c:pt>
                <c:pt idx="52" formatCode="0.0">
                  <c:v>107.10747284850186</c:v>
                </c:pt>
                <c:pt idx="53" formatCode="0.0">
                  <c:v>418.3077908024984</c:v>
                </c:pt>
                <c:pt idx="54" formatCode="0.0">
                  <c:v>851.09087520255571</c:v>
                </c:pt>
                <c:pt idx="55" formatCode="0.0">
                  <c:v>85.131808561389789</c:v>
                </c:pt>
                <c:pt idx="56" formatCode="0.0">
                  <c:v>194.05786002594573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D-644A-BE24-1399E81D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009967"/>
        <c:axId val="2012798256"/>
      </c:barChart>
      <c:lineChart>
        <c:grouping val="standard"/>
        <c:varyColors val="0"/>
        <c:ser>
          <c:idx val="0"/>
          <c:order val="0"/>
          <c:tx>
            <c:strRef>
              <c:f>'S3-Seasonal Exp. Smoothing'!$B$2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Smoothing'!$C$2:$BF$2</c:f>
              <c:numCache>
                <c:formatCode>General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D-644A-BE24-1399E81D58E5}"/>
            </c:ext>
          </c:extLst>
        </c:ser>
        <c:ser>
          <c:idx val="1"/>
          <c:order val="1"/>
          <c:tx>
            <c:strRef>
              <c:f>'S3-Seasonal Exp. Smoothing'!$B$40</c:f>
              <c:strCache>
                <c:ptCount val="1"/>
                <c:pt idx="0">
                  <c:v>Actual Forecast (Season-Trend 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'S3-Seasonal Exp. Smoothing'!$C$1:$BF$1</c:f>
              <c:numCache>
                <c:formatCode>d\-mmm</c:formatCode>
                <c:ptCount val="56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  <c:pt idx="31">
                  <c:v>45809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45815</c:v>
                </c:pt>
                <c:pt idx="38">
                  <c:v>45816</c:v>
                </c:pt>
                <c:pt idx="39">
                  <c:v>45817</c:v>
                </c:pt>
                <c:pt idx="40">
                  <c:v>45818</c:v>
                </c:pt>
                <c:pt idx="41">
                  <c:v>45819</c:v>
                </c:pt>
                <c:pt idx="42">
                  <c:v>45820</c:v>
                </c:pt>
                <c:pt idx="43">
                  <c:v>45821</c:v>
                </c:pt>
                <c:pt idx="44">
                  <c:v>45822</c:v>
                </c:pt>
                <c:pt idx="45">
                  <c:v>45823</c:v>
                </c:pt>
                <c:pt idx="46">
                  <c:v>45824</c:v>
                </c:pt>
                <c:pt idx="47">
                  <c:v>45825</c:v>
                </c:pt>
                <c:pt idx="48">
                  <c:v>45826</c:v>
                </c:pt>
                <c:pt idx="49">
                  <c:v>45827</c:v>
                </c:pt>
                <c:pt idx="50">
                  <c:v>45828</c:v>
                </c:pt>
                <c:pt idx="51">
                  <c:v>45829</c:v>
                </c:pt>
                <c:pt idx="52">
                  <c:v>45830</c:v>
                </c:pt>
                <c:pt idx="53">
                  <c:v>45831</c:v>
                </c:pt>
                <c:pt idx="54">
                  <c:v>45832</c:v>
                </c:pt>
                <c:pt idx="55">
                  <c:v>45833</c:v>
                </c:pt>
              </c:numCache>
            </c:numRef>
          </c:cat>
          <c:val>
            <c:numRef>
              <c:f>'S3-Seasonal Exp. Smoothing'!$C$40:$BF$40</c:f>
              <c:numCache>
                <c:formatCode>General</c:formatCode>
                <c:ptCount val="56"/>
                <c:pt idx="7" formatCode="0.0">
                  <c:v>1619.6826086956523</c:v>
                </c:pt>
                <c:pt idx="8" formatCode="0.0">
                  <c:v>2656.0388606267934</c:v>
                </c:pt>
                <c:pt idx="9" formatCode="0.0">
                  <c:v>2081.4052428469427</c:v>
                </c:pt>
                <c:pt idx="10" formatCode="0.0">
                  <c:v>1803.1789301093859</c:v>
                </c:pt>
                <c:pt idx="11" formatCode="0.0">
                  <c:v>1807.3610140873443</c:v>
                </c:pt>
                <c:pt idx="12" formatCode="0.0">
                  <c:v>1265.8588963173822</c:v>
                </c:pt>
                <c:pt idx="13" formatCode="0.0">
                  <c:v>770.72859148747659</c:v>
                </c:pt>
                <c:pt idx="14" formatCode="0.0">
                  <c:v>1756.4747566921751</c:v>
                </c:pt>
                <c:pt idx="15" formatCode="0.0">
                  <c:v>2493.2915608145054</c:v>
                </c:pt>
                <c:pt idx="16" formatCode="0.0">
                  <c:v>1769.3273437380797</c:v>
                </c:pt>
                <c:pt idx="17" formatCode="0.0">
                  <c:v>1631.7317784219829</c:v>
                </c:pt>
                <c:pt idx="18" formatCode="0.0">
                  <c:v>1612.1597489127541</c:v>
                </c:pt>
                <c:pt idx="19" formatCode="0.0">
                  <c:v>1236.9975225680516</c:v>
                </c:pt>
                <c:pt idx="20" formatCode="0.0">
                  <c:v>907.70014712101499</c:v>
                </c:pt>
                <c:pt idx="21" formatCode="0.0">
                  <c:v>1787.2382360749993</c:v>
                </c:pt>
                <c:pt idx="22" formatCode="0.0">
                  <c:v>2199.1257339989816</c:v>
                </c:pt>
                <c:pt idx="23" formatCode="0.0">
                  <c:v>1892.9023985338358</c:v>
                </c:pt>
                <c:pt idx="24" formatCode="0.0">
                  <c:v>1842.8675632447084</c:v>
                </c:pt>
                <c:pt idx="25" formatCode="0.0">
                  <c:v>1426.9179533082693</c:v>
                </c:pt>
                <c:pt idx="26" formatCode="0.0">
                  <c:v>1290.7229795429905</c:v>
                </c:pt>
                <c:pt idx="27" formatCode="0.0">
                  <c:v>1181.2757222198661</c:v>
                </c:pt>
                <c:pt idx="28" formatCode="0.0">
                  <c:v>1981.2485090843379</c:v>
                </c:pt>
                <c:pt idx="29" formatCode="0.0">
                  <c:v>2016.6897692699176</c:v>
                </c:pt>
                <c:pt idx="30" formatCode="0.0">
                  <c:v>1959.1792412356453</c:v>
                </c:pt>
                <c:pt idx="31" formatCode="0.0">
                  <c:v>1695.9646533047066</c:v>
                </c:pt>
                <c:pt idx="32" formatCode="0.0">
                  <c:v>1433.2633373642909</c:v>
                </c:pt>
                <c:pt idx="33" formatCode="0.0">
                  <c:v>1091.1365678202978</c:v>
                </c:pt>
                <c:pt idx="34" formatCode="0.0">
                  <c:v>906.97383747210722</c:v>
                </c:pt>
                <c:pt idx="35" formatCode="0.0">
                  <c:v>1717.5560717742399</c:v>
                </c:pt>
                <c:pt idx="36" formatCode="0.0">
                  <c:v>2600.3240893022135</c:v>
                </c:pt>
                <c:pt idx="37" formatCode="0.0">
                  <c:v>3082.6417006019087</c:v>
                </c:pt>
                <c:pt idx="38" formatCode="0.0">
                  <c:v>2991.2749832125019</c:v>
                </c:pt>
                <c:pt idx="39" formatCode="0.0">
                  <c:v>2530.4550182340181</c:v>
                </c:pt>
                <c:pt idx="40" formatCode="0.0">
                  <c:v>1708.4670714494569</c:v>
                </c:pt>
                <c:pt idx="41" formatCode="0.0">
                  <c:v>1659.3904574632184</c:v>
                </c:pt>
                <c:pt idx="42" formatCode="0.0">
                  <c:v>3356.0077383045805</c:v>
                </c:pt>
                <c:pt idx="43" formatCode="0.0">
                  <c:v>3117.3471567742499</c:v>
                </c:pt>
                <c:pt idx="44" formatCode="0.0">
                  <c:v>2917.1242008869931</c:v>
                </c:pt>
                <c:pt idx="45" formatCode="0.0">
                  <c:v>2628.09056231055</c:v>
                </c:pt>
                <c:pt idx="46" formatCode="0.0">
                  <c:v>2528.0676280637599</c:v>
                </c:pt>
                <c:pt idx="47" formatCode="0.0">
                  <c:v>1605.2819096955989</c:v>
                </c:pt>
                <c:pt idx="48" formatCode="0.0">
                  <c:v>1810.1626263118706</c:v>
                </c:pt>
                <c:pt idx="49" formatCode="0.0">
                  <c:v>2885.3949976125255</c:v>
                </c:pt>
                <c:pt idx="50" formatCode="0.0">
                  <c:v>2555.3277979629893</c:v>
                </c:pt>
                <c:pt idx="51" formatCode="0.0">
                  <c:v>2912.8925271514981</c:v>
                </c:pt>
                <c:pt idx="52" formatCode="0.0">
                  <c:v>2756.3077908024984</c:v>
                </c:pt>
                <c:pt idx="53" formatCode="0.0">
                  <c:v>2098.9091247974443</c:v>
                </c:pt>
                <c:pt idx="54" formatCode="0.0">
                  <c:v>1515.8681914386102</c:v>
                </c:pt>
                <c:pt idx="55" formatCode="0.0">
                  <c:v>1420.9421399740543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D-644A-BE24-1399E81D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009967"/>
        <c:axId val="2012798256"/>
      </c:lineChart>
      <c:dateAx>
        <c:axId val="38200996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98256"/>
        <c:crosses val="autoZero"/>
        <c:auto val="1"/>
        <c:lblOffset val="100"/>
        <c:baseTimeUnit val="days"/>
      </c:dateAx>
      <c:valAx>
        <c:axId val="20127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0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</a:t>
            </a:r>
            <a:r>
              <a:rPr lang="en-US" b="1" baseline="0"/>
              <a:t> of In Sample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'S3-Comparison of Errors'!$K$14</c:f>
              <c:strCache>
                <c:ptCount val="1"/>
                <c:pt idx="0">
                  <c:v>Seasonal Naïve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'S3-Comparison of Errors'!$L$13:$N$13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Errors'!$L$14:$N$14</c:f>
              <c:numCache>
                <c:formatCode>0.00</c:formatCode>
                <c:ptCount val="3"/>
                <c:pt idx="0">
                  <c:v>142.54761904761904</c:v>
                </c:pt>
                <c:pt idx="1">
                  <c:v>295.16666666666669</c:v>
                </c:pt>
                <c:pt idx="2">
                  <c:v>432.15134584342752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3-8A4A-972E-E2294539C41A}"/>
            </c:ext>
          </c:extLst>
        </c:ser>
        <c:ser>
          <c:idx val="1"/>
          <c:order val="1"/>
          <c:tx>
            <c:strRef>
              <c:f>'S3-Comparison of Errors'!$K$15</c:f>
              <c:strCache>
                <c:ptCount val="1"/>
                <c:pt idx="0">
                  <c:v>Average Index &amp; Average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'S3-Comparison of Errors'!$L$13:$N$13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Errors'!$L$15:$N$15</c:f>
              <c:numCache>
                <c:formatCode>0.00</c:formatCode>
                <c:ptCount val="3"/>
                <c:pt idx="0">
                  <c:v>142.54761904761904</c:v>
                </c:pt>
                <c:pt idx="1">
                  <c:v>311.8221618341197</c:v>
                </c:pt>
                <c:pt idx="2">
                  <c:v>440.12434855619637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3-8A4A-972E-E2294539C41A}"/>
            </c:ext>
          </c:extLst>
        </c:ser>
        <c:ser>
          <c:idx val="2"/>
          <c:order val="2"/>
          <c:tx>
            <c:strRef>
              <c:f>'S3-Comparison of Errors'!$K$16</c:f>
              <c:strCache>
                <c:ptCount val="1"/>
                <c:pt idx="0">
                  <c:v>Seasonal Exponential Smoothing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'S3-Comparison of Errors'!$L$13:$N$13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Errors'!$L$16:$N$16</c:f>
              <c:numCache>
                <c:formatCode>0.00</c:formatCode>
                <c:ptCount val="3"/>
                <c:pt idx="0">
                  <c:v>49.579890907774612</c:v>
                </c:pt>
                <c:pt idx="1">
                  <c:v>249.75251966435891</c:v>
                </c:pt>
                <c:pt idx="2">
                  <c:v>340.53064871291082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3-8A4A-972E-E2294539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408735"/>
        <c:axId val="585199391"/>
      </c:barChart>
      <c:catAx>
        <c:axId val="11940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99391"/>
        <c:crosses val="autoZero"/>
        <c:auto val="1"/>
        <c:lblAlgn val="ctr"/>
        <c:lblOffset val="100"/>
        <c:noMultiLvlLbl val="0"/>
      </c:catAx>
      <c:valAx>
        <c:axId val="58519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 Out Sample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'S3-Comparison of Errors'!$K$19</c:f>
              <c:strCache>
                <c:ptCount val="1"/>
                <c:pt idx="0">
                  <c:v>Seasonal Naïve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'S3-Comparison of Errors'!$L$18:$N$18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Errors'!$L$19:$N$19</c:f>
              <c:numCache>
                <c:formatCode>0.00</c:formatCode>
                <c:ptCount val="3"/>
                <c:pt idx="0">
                  <c:v>9.1428571428571423</c:v>
                </c:pt>
                <c:pt idx="1">
                  <c:v>362.28571428571428</c:v>
                </c:pt>
                <c:pt idx="2">
                  <c:v>464.96697271342373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7-BE47-8480-5185CA153E72}"/>
            </c:ext>
          </c:extLst>
        </c:ser>
        <c:ser>
          <c:idx val="1"/>
          <c:order val="1"/>
          <c:tx>
            <c:strRef>
              <c:f>'S3-Comparison of Errors'!$K$20</c:f>
              <c:strCache>
                <c:ptCount val="1"/>
                <c:pt idx="0">
                  <c:v>Average Index &amp; Average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'S3-Comparison of Errors'!$L$18:$N$18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Errors'!$L$20:$N$20</c:f>
              <c:numCache>
                <c:formatCode>0.00</c:formatCode>
                <c:ptCount val="3"/>
                <c:pt idx="0">
                  <c:v>9.1428571428571423</c:v>
                </c:pt>
                <c:pt idx="1">
                  <c:v>231.42250319475377</c:v>
                </c:pt>
                <c:pt idx="2">
                  <c:v>321.60710313068012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7-BE47-8480-5185CA153E72}"/>
            </c:ext>
          </c:extLst>
        </c:ser>
        <c:ser>
          <c:idx val="2"/>
          <c:order val="2"/>
          <c:tx>
            <c:strRef>
              <c:f>'S3-Comparison of Errors'!$K$21</c:f>
              <c:strCache>
                <c:ptCount val="1"/>
                <c:pt idx="0">
                  <c:v>Seasonal Exponential Smoothing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'S3-Comparison of Errors'!$L$18:$N$18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'S3-Comparison of Errors'!$L$21:$N$21</c:f>
              <c:numCache>
                <c:formatCode>0.00</c:formatCode>
                <c:ptCount val="3"/>
                <c:pt idx="0">
                  <c:v>21.276286035381709</c:v>
                </c:pt>
                <c:pt idx="1">
                  <c:v>211.70191833203057</c:v>
                </c:pt>
                <c:pt idx="2">
                  <c:v>329.39595211028785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F7-BE47-8480-5185CA15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0189935"/>
        <c:axId val="2009755984"/>
      </c:barChart>
      <c:catAx>
        <c:axId val="1120189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755984"/>
        <c:crosses val="autoZero"/>
        <c:auto val="1"/>
        <c:lblAlgn val="ctr"/>
        <c:lblOffset val="100"/>
        <c:noMultiLvlLbl val="0"/>
      </c:catAx>
      <c:valAx>
        <c:axId val="20097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</a:t>
            </a:r>
            <a:r>
              <a:rPr lang="en-US" b="1" baseline="0"/>
              <a:t> Daily Costs (Currently Ongoing)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'S4-Inventory Simulation'!$C$79</c:f>
              <c:strCache>
                <c:ptCount val="1"/>
                <c:pt idx="0">
                  <c:v>Ordering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'S4-Inventory Simulation'!$B$80:$B$86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Simulation'!$C$80:$C$86</c:f>
              <c:numCache>
                <c:formatCode>General</c:formatCode>
                <c:ptCount val="7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B14D-8EDF-565FA1A306E5}"/>
            </c:ext>
          </c:extLst>
        </c:ser>
        <c:ser>
          <c:idx val="1"/>
          <c:order val="1"/>
          <c:tx>
            <c:strRef>
              <c:f>'S4-Inventory Simulation'!$D$79</c:f>
              <c:strCache>
                <c:ptCount val="1"/>
                <c:pt idx="0">
                  <c:v>Holding Cost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'S4-Inventory Simulation'!$B$80:$B$86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Simulation'!$D$80:$D$86</c:f>
              <c:numCache>
                <c:formatCode>General</c:formatCode>
                <c:ptCount val="7"/>
                <c:pt idx="0">
                  <c:v>100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2-B14D-8EDF-565FA1A306E5}"/>
            </c:ext>
          </c:extLst>
        </c:ser>
        <c:ser>
          <c:idx val="2"/>
          <c:order val="2"/>
          <c:tx>
            <c:strRef>
              <c:f>'S4-Inventory Simulation'!$E$79</c:f>
              <c:strCache>
                <c:ptCount val="1"/>
                <c:pt idx="0">
                  <c:v>Bacorder Cost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'S4-Inventory Simulation'!$B$80:$B$86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Simulation'!$E$80:$E$86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E2-B14D-8EDF-565FA1A3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172815"/>
        <c:axId val="92755967"/>
      </c:barChart>
      <c:catAx>
        <c:axId val="3951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55967"/>
        <c:crosses val="autoZero"/>
        <c:auto val="1"/>
        <c:lblAlgn val="ctr"/>
        <c:lblOffset val="100"/>
        <c:noMultiLvlLbl val="0"/>
      </c:catAx>
      <c:valAx>
        <c:axId val="927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7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Continuous</a:t>
            </a:r>
            <a:r>
              <a:rPr lang="en-US" b="1" baseline="0"/>
              <a:t> </a:t>
            </a:r>
            <a:r>
              <a:rPr lang="en-US" b="1"/>
              <a:t>Inventory System (Currently Ongoing)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'S4-Inventory Simulation'!$C$47</c:f>
              <c:strCache>
                <c:ptCount val="1"/>
                <c:pt idx="0">
                  <c:v>Inventory Levels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'S4-Inventory Simulation'!$B$48:$B$61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'S4-Inventory Simulation'!$C$48:$C$61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4</c:v>
                </c:pt>
                <c:pt idx="7">
                  <c:v>-5</c:v>
                </c:pt>
                <c:pt idx="8">
                  <c:v>5</c:v>
                </c:pt>
                <c:pt idx="9">
                  <c:v>-1</c:v>
                </c:pt>
                <c:pt idx="10">
                  <c:v>9</c:v>
                </c:pt>
                <c:pt idx="11">
                  <c:v>0</c:v>
                </c:pt>
                <c:pt idx="12">
                  <c:v>10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7-3949-89AE-99132A130264}"/>
            </c:ext>
          </c:extLst>
        </c:ser>
        <c:ser>
          <c:idx val="1"/>
          <c:order val="1"/>
          <c:tx>
            <c:strRef>
              <c:f>'S4-Inventory Simulation'!$D$47</c:f>
              <c:strCache>
                <c:ptCount val="1"/>
                <c:pt idx="0">
                  <c:v>Reorder Point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'S4-Inventory Simulation'!$B$48:$B$61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'S4-Inventory Simulation'!$D$48:$D$61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7-3949-89AE-99132A13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148847"/>
        <c:axId val="862731583"/>
      </c:scatterChart>
      <c:valAx>
        <c:axId val="862148847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31583"/>
        <c:crosses val="autoZero"/>
        <c:crossBetween val="midCat"/>
      </c:valAx>
      <c:valAx>
        <c:axId val="8627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</a:t>
            </a:r>
            <a:r>
              <a:rPr lang="en-US" b="1" baseline="0"/>
              <a:t> Daily Costs (based on EOQ)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'S4-Inventory Simulation (w EOQ)'!$C$79</c:f>
              <c:strCache>
                <c:ptCount val="1"/>
                <c:pt idx="0">
                  <c:v>Ordering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'S4-Inventory Simulation (w EOQ)'!$B$80:$B$86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 (w EOQ)'!$C$80:$C$86</c:f>
              <c:numCache>
                <c:formatCode>0</c:formatCode>
                <c:ptCount val="7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500</c:v>
                </c:pt>
                <c:pt idx="4">
                  <c:v>500</c:v>
                </c:pt>
                <c:pt idx="5">
                  <c:v>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0-AC4A-9483-749CE10432EC}"/>
            </c:ext>
          </c:extLst>
        </c:ser>
        <c:ser>
          <c:idx val="1"/>
          <c:order val="1"/>
          <c:tx>
            <c:strRef>
              <c:f>'S4-Inventory Simulation (w EOQ)'!$D$79</c:f>
              <c:strCache>
                <c:ptCount val="1"/>
                <c:pt idx="0">
                  <c:v>Holding Cost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'S4-Inventory Simulation (w EOQ)'!$B$80:$B$86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 (w EOQ)'!$D$80:$D$86</c:f>
              <c:numCache>
                <c:formatCode>0</c:formatCode>
                <c:ptCount val="7"/>
                <c:pt idx="0">
                  <c:v>100</c:v>
                </c:pt>
                <c:pt idx="1">
                  <c:v>0</c:v>
                </c:pt>
                <c:pt idx="2">
                  <c:v>53.389341902768166</c:v>
                </c:pt>
                <c:pt idx="3">
                  <c:v>0</c:v>
                </c:pt>
                <c:pt idx="4">
                  <c:v>16.778683805536332</c:v>
                </c:pt>
                <c:pt idx="5">
                  <c:v>40.168025708304498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0-AC4A-9483-749CE10432EC}"/>
            </c:ext>
          </c:extLst>
        </c:ser>
        <c:ser>
          <c:idx val="2"/>
          <c:order val="2"/>
          <c:tx>
            <c:strRef>
              <c:f>'S4-Inventory Simulation (w EOQ)'!$E$79</c:f>
              <c:strCache>
                <c:ptCount val="1"/>
                <c:pt idx="0">
                  <c:v>Backorder Cost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'S4-Inventory Simulation (w EOQ)'!$B$80:$B$86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'S4-Inventory Simulation (w EOQ)'!$E$80:$E$86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73.221316194463668</c:v>
                </c:pt>
                <c:pt idx="4">
                  <c:v>0</c:v>
                </c:pt>
                <c:pt idx="5">
                  <c:v>0</c:v>
                </c:pt>
                <c:pt idx="6">
                  <c:v>99.663948583391004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0-AC4A-9483-749CE1043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172815"/>
        <c:axId val="92755967"/>
      </c:barChart>
      <c:catAx>
        <c:axId val="3951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55967"/>
        <c:crosses val="autoZero"/>
        <c:auto val="1"/>
        <c:lblAlgn val="ctr"/>
        <c:lblOffset val="100"/>
        <c:noMultiLvlLbl val="0"/>
      </c:catAx>
      <c:valAx>
        <c:axId val="927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7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 of Costs based on new ROQ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'S4-Inventory Simulation (w EOQ)'!$A$103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'S4-Inventory Simulation (w EOQ)'!$B$102:$E$102</c:f>
              <c:strCache>
                <c:ptCount val="4"/>
                <c:pt idx="0">
                  <c:v>Ordering Cost</c:v>
                </c:pt>
                <c:pt idx="1">
                  <c:v>Holding Cost</c:v>
                </c:pt>
                <c:pt idx="2">
                  <c:v>Backorder Cost</c:v>
                </c:pt>
                <c:pt idx="3">
                  <c:v>Total Cost</c:v>
                </c:pt>
              </c:strCache>
            </c:strRef>
          </c:cat>
          <c:val>
            <c:numRef>
              <c:f>'S4-Inventory Simulation (w EOQ)'!$B$103:$E$103</c:f>
              <c:numCache>
                <c:formatCode>General</c:formatCode>
                <c:ptCount val="4"/>
                <c:pt idx="0">
                  <c:v>2500</c:v>
                </c:pt>
                <c:pt idx="1">
                  <c:v>150</c:v>
                </c:pt>
                <c:pt idx="2">
                  <c:v>120</c:v>
                </c:pt>
                <c:pt idx="3">
                  <c:v>2770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B-B54E-9482-7228036B0574}"/>
            </c:ext>
          </c:extLst>
        </c:ser>
        <c:ser>
          <c:idx val="1"/>
          <c:order val="1"/>
          <c:tx>
            <c:strRef>
              <c:f>'S4-Inventory Simulation (w EOQ)'!$A$104</c:f>
              <c:strCache>
                <c:ptCount val="1"/>
                <c:pt idx="0">
                  <c:v>Based on EOQ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'S4-Inventory Simulation (w EOQ)'!$B$102:$E$102</c:f>
              <c:strCache>
                <c:ptCount val="4"/>
                <c:pt idx="0">
                  <c:v>Ordering Cost</c:v>
                </c:pt>
                <c:pt idx="1">
                  <c:v>Holding Cost</c:v>
                </c:pt>
                <c:pt idx="2">
                  <c:v>Backorder Cost</c:v>
                </c:pt>
                <c:pt idx="3">
                  <c:v>Total Cost</c:v>
                </c:pt>
              </c:strCache>
            </c:strRef>
          </c:cat>
          <c:val>
            <c:numRef>
              <c:f>'S4-Inventory Simulation (w EOQ)'!$B$104:$E$104</c:f>
              <c:numCache>
                <c:formatCode>0</c:formatCode>
                <c:ptCount val="4"/>
                <c:pt idx="0">
                  <c:v>2000</c:v>
                </c:pt>
                <c:pt idx="1">
                  <c:v>210.336051416609</c:v>
                </c:pt>
                <c:pt idx="2">
                  <c:v>172.88526477785467</c:v>
                </c:pt>
                <c:pt idx="3">
                  <c:v>2383.2213161944637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B-B54E-9482-7228036B0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221055"/>
        <c:axId val="100356591"/>
      </c:barChart>
      <c:catAx>
        <c:axId val="55822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6591"/>
        <c:crosses val="autoZero"/>
        <c:auto val="1"/>
        <c:lblAlgn val="ctr"/>
        <c:lblOffset val="100"/>
        <c:noMultiLvlLbl val="0"/>
      </c:catAx>
      <c:valAx>
        <c:axId val="10035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2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Inventory System (based</a:t>
            </a:r>
            <a:r>
              <a:rPr lang="en-US" b="1" baseline="0"/>
              <a:t> on EOQ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'S4-Inventory Simulation (w EOQ)'!$C$47</c:f>
              <c:strCache>
                <c:ptCount val="1"/>
                <c:pt idx="0">
                  <c:v>Inventory Levels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'S4-Inventory Simulation (w EOQ)'!$B$48:$B$61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'S4-Inventory Simulation (w EOQ)'!$C$48:$C$61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  <c:pt idx="4">
                  <c:v>11.338934190276817</c:v>
                </c:pt>
                <c:pt idx="5">
                  <c:v>5.3389341902768166</c:v>
                </c:pt>
                <c:pt idx="6">
                  <c:v>5.3389341902768166</c:v>
                </c:pt>
                <c:pt idx="7">
                  <c:v>-3.6610658097231834</c:v>
                </c:pt>
                <c:pt idx="8">
                  <c:v>7.6778683805536332</c:v>
                </c:pt>
                <c:pt idx="9">
                  <c:v>1.6778683805536332</c:v>
                </c:pt>
                <c:pt idx="10">
                  <c:v>13.01680257083045</c:v>
                </c:pt>
                <c:pt idx="11">
                  <c:v>4.0168025708304498</c:v>
                </c:pt>
                <c:pt idx="12">
                  <c:v>4.0168025708304498</c:v>
                </c:pt>
                <c:pt idx="13">
                  <c:v>-4.9831974291695502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C-0241-AAFF-4740B265B368}"/>
            </c:ext>
          </c:extLst>
        </c:ser>
        <c:ser>
          <c:idx val="1"/>
          <c:order val="1"/>
          <c:tx>
            <c:strRef>
              <c:f>'S4-Inventory Simulation (w EOQ)'!$D$47</c:f>
              <c:strCache>
                <c:ptCount val="1"/>
                <c:pt idx="0">
                  <c:v>Reorder Point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'S4-Inventory Simulation (w EOQ)'!$B$48:$B$61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'S4-Inventory Simulation (w EOQ)'!$D$48:$D$61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AC-0241-AAFF-4740B265B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148847"/>
        <c:axId val="862731583"/>
      </c:scatterChart>
      <c:valAx>
        <c:axId val="862148847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731583"/>
        <c:crosses val="autoZero"/>
        <c:crossBetween val="midCat"/>
      </c:valAx>
      <c:valAx>
        <c:axId val="8627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Chart'!$D$2:$D$16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16.881503963593961</c:v>
                </c:pt>
                <c:pt idx="3">
                  <c:v>51.353260664777608</c:v>
                </c:pt>
                <c:pt idx="4">
                  <c:v>55.48636315852989</c:v>
                </c:pt>
                <c:pt idx="5">
                  <c:v>58.484369231353554</c:v>
                </c:pt>
                <c:pt idx="6">
                  <c:v>88.952922928990986</c:v>
                </c:pt>
                <c:pt idx="7">
                  <c:v>99.008414606948492</c:v>
                </c:pt>
                <c:pt idx="8">
                  <c:v>135</c:v>
                </c:pt>
                <c:pt idx="9">
                  <c:v>151.79284567500505</c:v>
                </c:pt>
                <c:pt idx="10">
                  <c:v>165</c:v>
                </c:pt>
                <c:pt idx="11">
                  <c:v>174</c:v>
                </c:pt>
                <c:pt idx="12">
                  <c:v>188</c:v>
                </c:pt>
                <c:pt idx="13">
                  <c:v>196</c:v>
                </c:pt>
                <c:pt idx="14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8-EB49-88D9-5D354C0622A6}"/>
            </c:ext>
          </c:extLst>
        </c:ser>
        <c:ser>
          <c:idx val="1"/>
          <c:order val="1"/>
          <c:tx>
            <c:strRef>
              <c:f>'S6-Final Chart'!$E$1</c:f>
              <c:strCache>
                <c:ptCount val="1"/>
                <c:pt idx="0">
                  <c:v>Wait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Chart'!$E$2:$E$16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">
                  <c:v>15.510883262644001</c:v>
                </c:pt>
                <c:pt idx="9">
                  <c:v>0</c:v>
                </c:pt>
                <c:pt idx="10" formatCode="0.0">
                  <c:v>23.432554967822057</c:v>
                </c:pt>
                <c:pt idx="11" formatCode="0.0">
                  <c:v>25.417950661775791</c:v>
                </c:pt>
                <c:pt idx="12" formatCode="0.0">
                  <c:v>44.966598227798499</c:v>
                </c:pt>
                <c:pt idx="13" formatCode="0.0">
                  <c:v>43.373524885373627</c:v>
                </c:pt>
                <c:pt idx="14" formatCode="0.0">
                  <c:v>38.650170939682539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8-EB49-88D9-5D354C0622A6}"/>
            </c:ext>
          </c:extLst>
        </c:ser>
        <c:ser>
          <c:idx val="4"/>
          <c:order val="2"/>
          <c:tx>
            <c:strRef>
              <c:f>'S6-Final Chart'!$H$1</c:f>
              <c:strCache>
                <c:ptCount val="1"/>
                <c:pt idx="0">
                  <c:v>Mechanic-1 Idle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Chart'!$H$2:$H$16</c:f>
              <c:numCache>
                <c:formatCode>General</c:formatCode>
                <c:ptCount val="15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 formatCode="0.0">
                  <c:v>17.51363684147011</c:v>
                </c:pt>
                <c:pt idx="5">
                  <c:v>0</c:v>
                </c:pt>
                <c:pt idx="6">
                  <c:v>0</c:v>
                </c:pt>
                <c:pt idx="7" formatCode="0.0">
                  <c:v>20.991585393051508</c:v>
                </c:pt>
                <c:pt idx="8">
                  <c:v>0</c:v>
                </c:pt>
                <c:pt idx="9" formatCode="0.0">
                  <c:v>0.20715432499494568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8-EB49-88D9-5D354C0622A6}"/>
            </c:ext>
          </c:extLst>
        </c:ser>
        <c:ser>
          <c:idx val="5"/>
          <c:order val="3"/>
          <c:tx>
            <c:strRef>
              <c:f>'S6-Final Chart'!$I$1</c:f>
              <c:strCache>
                <c:ptCount val="1"/>
                <c:pt idx="0">
                  <c:v>Mechanic-2 Idle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Chart'!$I$2:$I$16</c:f>
              <c:numCache>
                <c:formatCode>General</c:formatCode>
                <c:ptCount val="15"/>
                <c:pt idx="0">
                  <c:v>8</c:v>
                </c:pt>
                <c:pt idx="1">
                  <c:v>0</c:v>
                </c:pt>
                <c:pt idx="2" formatCode="0.0">
                  <c:v>28.118496036406039</c:v>
                </c:pt>
                <c:pt idx="3" formatCode="0.0">
                  <c:v>2.6467393352223922</c:v>
                </c:pt>
                <c:pt idx="4">
                  <c:v>0</c:v>
                </c:pt>
                <c:pt idx="5" formatCode="0.0">
                  <c:v>28.515630768646446</c:v>
                </c:pt>
                <c:pt idx="6" formatCode="0.0">
                  <c:v>13.047077071009014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D8-EB49-88D9-5D354C0622A6}"/>
            </c:ext>
          </c:extLst>
        </c:ser>
        <c:ser>
          <c:idx val="2"/>
          <c:order val="4"/>
          <c:tx>
            <c:strRef>
              <c:f>'S6-Final Chart'!$F$1</c:f>
              <c:strCache>
                <c:ptCount val="1"/>
                <c:pt idx="0">
                  <c:v>Mechanic-1 Servicing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Chart'!$F$2:$F$16</c:f>
              <c:numCache>
                <c:formatCode>0.0</c:formatCode>
                <c:ptCount val="15"/>
                <c:pt idx="0" formatCode="General">
                  <c:v>0</c:v>
                </c:pt>
                <c:pt idx="1">
                  <c:v>30.48636315852989</c:v>
                </c:pt>
                <c:pt idx="2" formatCode="General">
                  <c:v>0</c:v>
                </c:pt>
                <c:pt idx="3" formatCode="General">
                  <c:v>0</c:v>
                </c:pt>
                <c:pt idx="4">
                  <c:v>26.008414606948492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31.792845675005044</c:v>
                </c:pt>
                <c:pt idx="8" formatCode="General">
                  <c:v>0</c:v>
                </c:pt>
                <c:pt idx="9">
                  <c:v>36.432554967822043</c:v>
                </c:pt>
                <c:pt idx="10">
                  <c:v>10.985395693953738</c:v>
                </c:pt>
                <c:pt idx="11">
                  <c:v>39.955574223597843</c:v>
                </c:pt>
                <c:pt idx="12" formatCode="General">
                  <c:v>0</c:v>
                </c:pt>
                <c:pt idx="13">
                  <c:v>43.527252310806197</c:v>
                </c:pt>
                <c:pt idx="1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8-EB49-88D9-5D354C0622A6}"/>
            </c:ext>
          </c:extLst>
        </c:ser>
        <c:ser>
          <c:idx val="3"/>
          <c:order val="5"/>
          <c:tx>
            <c:strRef>
              <c:f>'S6-Final Chart'!$G$1</c:f>
              <c:strCache>
                <c:ptCount val="1"/>
                <c:pt idx="0">
                  <c:v>Mechanic-2 Servicing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'S6-Final Chart'!$A$2:$A$16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'S6-Final Chart'!$G$2:$G$16</c:f>
              <c:numCache>
                <c:formatCode>0.00</c:formatCode>
                <c:ptCount val="15"/>
                <c:pt idx="0" formatCode="0.0">
                  <c:v>8.8815039635939605</c:v>
                </c:pt>
                <c:pt idx="1">
                  <c:v>0</c:v>
                </c:pt>
                <c:pt idx="2" formatCode="0.0">
                  <c:v>6.353260664777606</c:v>
                </c:pt>
                <c:pt idx="3" formatCode="0.0">
                  <c:v>4.4843692313535541</c:v>
                </c:pt>
                <c:pt idx="4">
                  <c:v>0</c:v>
                </c:pt>
                <c:pt idx="5" formatCode="0.0">
                  <c:v>1.9529229289909846</c:v>
                </c:pt>
                <c:pt idx="6" formatCode="0.0">
                  <c:v>48.510883262644001</c:v>
                </c:pt>
                <c:pt idx="7">
                  <c:v>0</c:v>
                </c:pt>
                <c:pt idx="8" formatCode="0.0">
                  <c:v>82.455714965154499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0">
                  <c:v>11.683572711884054</c:v>
                </c:pt>
                <c:pt idx="13">
                  <c:v>0</c:v>
                </c:pt>
                <c:pt idx="14" formatCode="0.0">
                  <c:v>3.5083844496844456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8-EB49-88D9-5D354C06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3135743"/>
        <c:axId val="964449791"/>
      </c:barChart>
      <c:catAx>
        <c:axId val="109313574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49791"/>
        <c:crosses val="autoZero"/>
        <c:auto val="1"/>
        <c:lblAlgn val="ctr"/>
        <c:lblOffset val="100"/>
        <c:noMultiLvlLbl val="0"/>
      </c:catAx>
      <c:valAx>
        <c:axId val="9644497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3574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6350</xdr:rowOff>
    </xdr:from>
    <xdr:to>
      <xdr:col>13</xdr:col>
      <xdr:colOff>25400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20256-E42F-8B51-951A-FCF17D9D6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6350</xdr:rowOff>
    </xdr:from>
    <xdr:to>
      <xdr:col>13</xdr:col>
      <xdr:colOff>25400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C077-2EC0-B19F-14E9-ADBBC8193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19</xdr:row>
      <xdr:rowOff>6350</xdr:rowOff>
    </xdr:from>
    <xdr:to>
      <xdr:col>13</xdr:col>
      <xdr:colOff>12700</xdr:colOff>
      <xdr:row>36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84796D-ACAC-7B30-2462-9F00D940D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12</xdr:row>
      <xdr:rowOff>171450</xdr:rowOff>
    </xdr:from>
    <xdr:to>
      <xdr:col>16</xdr:col>
      <xdr:colOff>25400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1132F-0639-A431-F84F-157375B2F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6350</xdr:rowOff>
    </xdr:from>
    <xdr:to>
      <xdr:col>8</xdr:col>
      <xdr:colOff>812800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975721-EE4C-C7B5-350E-39960D303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0</xdr:rowOff>
    </xdr:from>
    <xdr:to>
      <xdr:col>15</xdr:col>
      <xdr:colOff>50800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A0C59-BB09-5D8D-554A-79BE2C084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20</xdr:row>
      <xdr:rowOff>19050</xdr:rowOff>
    </xdr:from>
    <xdr:to>
      <xdr:col>15</xdr:col>
      <xdr:colOff>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114900-AAF9-F057-1C20-CBA3006AC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21</xdr:row>
      <xdr:rowOff>6350</xdr:rowOff>
    </xdr:from>
    <xdr:to>
      <xdr:col>15</xdr:col>
      <xdr:colOff>12700</xdr:colOff>
      <xdr:row>39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5E5FA7-C233-C412-609D-D75A712E7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</xdr:row>
      <xdr:rowOff>19050</xdr:rowOff>
    </xdr:from>
    <xdr:to>
      <xdr:col>15</xdr:col>
      <xdr:colOff>12700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3F098-3EAF-D6D8-2069-CD6BCB8D1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1</xdr:row>
      <xdr:rowOff>6350</xdr:rowOff>
    </xdr:from>
    <xdr:to>
      <xdr:col>22</xdr:col>
      <xdr:colOff>12700</xdr:colOff>
      <xdr:row>19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09E513-6C88-97EF-E3E8-6B0B657A3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6350</xdr:colOff>
      <xdr:row>21</xdr:row>
      <xdr:rowOff>6350</xdr:rowOff>
    </xdr:from>
    <xdr:to>
      <xdr:col>21</xdr:col>
      <xdr:colOff>736600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5A538B-D28E-76A9-F20A-1F003797E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3</xdr:row>
      <xdr:rowOff>8467</xdr:rowOff>
    </xdr:from>
    <xdr:to>
      <xdr:col>8</xdr:col>
      <xdr:colOff>829733</xdr:colOff>
      <xdr:row>18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24B58-261C-940B-9E28-D36D4F9AC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0.86712</cdr:x>
      <cdr:y>0.16116</cdr:y>
    </cdr:from>
    <cdr:to>
      <cdr:x>0.97586</cdr:x>
      <cdr:y>0.7292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143C231-79E5-81D1-39E6-347D889828D4}"/>
            </a:ext>
          </a:extLst>
        </cdr:cNvPr>
        <cdr:cNvSpPr/>
      </cdr:nvSpPr>
      <cdr:spPr>
        <a:xfrm xmlns:a="http://schemas.openxmlformats.org/drawingml/2006/main">
          <a:off x="5706533" y="474490"/>
          <a:ext cx="715565" cy="1672465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205316</xdr:colOff>
      <xdr:row>3</xdr:row>
      <xdr:rowOff>0</xdr:rowOff>
    </xdr:from>
    <xdr:to>
      <xdr:col>3</xdr:col>
      <xdr:colOff>819452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FBCFC-621E-50B2-EDE3-A12786C58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6349</xdr:colOff>
      <xdr:row>3</xdr:row>
      <xdr:rowOff>1815</xdr:rowOff>
    </xdr:from>
    <xdr:to>
      <xdr:col>12</xdr:col>
      <xdr:colOff>42333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25550F-0F8B-1216-0394-9750044F1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10582</xdr:colOff>
      <xdr:row>3</xdr:row>
      <xdr:rowOff>14816</xdr:rowOff>
    </xdr:from>
    <xdr:to>
      <xdr:col>20</xdr:col>
      <xdr:colOff>-1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D64921-B867-E79F-888C-38A429E18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10582</xdr:colOff>
      <xdr:row>3</xdr:row>
      <xdr:rowOff>14817</xdr:rowOff>
    </xdr:from>
    <xdr:to>
      <xdr:col>28</xdr:col>
      <xdr:colOff>21166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786FEF-2B0B-0FF0-98D9-8BE287BE6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0.86469</cdr:x>
      <cdr:y>0.13864</cdr:y>
    </cdr:from>
    <cdr:to>
      <cdr:x>0.9683</cdr:x>
      <cdr:y>0.76337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9C991A4-256C-E163-C8A9-91E8D3ED8E35}"/>
            </a:ext>
          </a:extLst>
        </cdr:cNvPr>
        <cdr:cNvSpPr/>
      </cdr:nvSpPr>
      <cdr:spPr>
        <a:xfrm xmlns:a="http://schemas.openxmlformats.org/drawingml/2006/main">
          <a:off x="4935785" y="472777"/>
          <a:ext cx="591440" cy="2130372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0.86148</cdr:x>
      <cdr:y>0.1368</cdr:y>
    </cdr:from>
    <cdr:to>
      <cdr:x>0.97381</cdr:x>
      <cdr:y>0.76535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5B19F49-7A25-1D5E-25F1-69BE9A99A065}"/>
            </a:ext>
          </a:extLst>
        </cdr:cNvPr>
        <cdr:cNvSpPr/>
      </cdr:nvSpPr>
      <cdr:spPr>
        <a:xfrm xmlns:a="http://schemas.openxmlformats.org/drawingml/2006/main">
          <a:off x="6198498" y="470220"/>
          <a:ext cx="808249" cy="2160510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0.86593</cdr:x>
      <cdr:y>0.13784</cdr:y>
    </cdr:from>
    <cdr:to>
      <cdr:x>0.97778</cdr:x>
      <cdr:y>0.76878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AFA3460-23E9-F0AF-8DFC-7CD11FA17D7E}"/>
            </a:ext>
          </a:extLst>
        </cdr:cNvPr>
        <cdr:cNvSpPr/>
      </cdr:nvSpPr>
      <cdr:spPr>
        <a:xfrm xmlns:a="http://schemas.openxmlformats.org/drawingml/2006/main">
          <a:off x="7021784" y="481119"/>
          <a:ext cx="906986" cy="2202223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0.86367</cdr:x>
      <cdr:y>0.13627</cdr:y>
    </cdr:from>
    <cdr:to>
      <cdr:x>0.97938</cdr:x>
      <cdr:y>0.76721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7B92A99-2316-8B4B-02F5-78F6499BDCDF}"/>
            </a:ext>
          </a:extLst>
        </cdr:cNvPr>
        <cdr:cNvSpPr/>
      </cdr:nvSpPr>
      <cdr:spPr>
        <a:xfrm xmlns:a="http://schemas.openxmlformats.org/drawingml/2006/main">
          <a:off x="7007702" y="466641"/>
          <a:ext cx="938883" cy="2160510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774240</xdr:colOff>
      <xdr:row>2</xdr:row>
      <xdr:rowOff>181473</xdr:rowOff>
    </xdr:from>
    <xdr:to>
      <xdr:col>7</xdr:col>
      <xdr:colOff>15301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95B81-EF5B-FB23-10E4-210B0532D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820145</xdr:colOff>
      <xdr:row>2</xdr:row>
      <xdr:rowOff>181473</xdr:rowOff>
    </xdr:from>
    <xdr:to>
      <xdr:col>16</xdr:col>
      <xdr:colOff>15301</xdr:colOff>
      <xdr:row>22</xdr:row>
      <xdr:rowOff>15302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0843C-89B7-073A-7612-8D9719351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0.86439</cdr:x>
      <cdr:y>0.12391</cdr:y>
    </cdr:from>
    <cdr:to>
      <cdr:x>0.97846</cdr:x>
      <cdr:y>0.7857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6F415E4F-6CF9-F054-C0D6-3C9FA2CB0A13}"/>
            </a:ext>
          </a:extLst>
        </cdr:cNvPr>
        <cdr:cNvSpPr/>
      </cdr:nvSpPr>
      <cdr:spPr>
        <a:xfrm xmlns:a="http://schemas.openxmlformats.org/drawingml/2006/main">
          <a:off x="5708298" y="461565"/>
          <a:ext cx="753301" cy="2465137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0.86792</cdr:x>
      <cdr:y>0.12391</cdr:y>
    </cdr:from>
    <cdr:to>
      <cdr:x>0.98133</cdr:x>
      <cdr:y>0.78499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9C991A4-256C-E163-C8A9-91E8D3ED8E35}"/>
            </a:ext>
          </a:extLst>
        </cdr:cNvPr>
        <cdr:cNvSpPr/>
      </cdr:nvSpPr>
      <cdr:spPr>
        <a:xfrm xmlns:a="http://schemas.openxmlformats.org/drawingml/2006/main">
          <a:off x="5782733" y="461994"/>
          <a:ext cx="755599" cy="2464849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11</xdr:row>
      <xdr:rowOff>0</xdr:rowOff>
    </xdr:from>
    <xdr:to>
      <xdr:col>2</xdr:col>
      <xdr:colOff>850900</xdr:colOff>
      <xdr:row>24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FB403F-6511-E6A3-B6BD-2491C4201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298450</xdr:colOff>
      <xdr:row>11</xdr:row>
      <xdr:rowOff>25400</xdr:rowOff>
    </xdr:from>
    <xdr:to>
      <xdr:col>9</xdr:col>
      <xdr:colOff>419100</xdr:colOff>
      <xdr:row>24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31F4DC-30BE-C518-63C4-9805D27E3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818444</xdr:colOff>
      <xdr:row>68</xdr:row>
      <xdr:rowOff>8154</xdr:rowOff>
    </xdr:from>
    <xdr:to>
      <xdr:col>11</xdr:col>
      <xdr:colOff>1583579</xdr:colOff>
      <xdr:row>87</xdr:row>
      <xdr:rowOff>15679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4AFC0A-A271-BC1F-F1FD-FA51B8C27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23405</xdr:colOff>
      <xdr:row>46</xdr:row>
      <xdr:rowOff>7817</xdr:rowOff>
    </xdr:from>
    <xdr:to>
      <xdr:col>11</xdr:col>
      <xdr:colOff>1599259</xdr:colOff>
      <xdr:row>65</xdr:row>
      <xdr:rowOff>33822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96EE5B8-E868-7B2D-1888-1C61CE5EA9A9}"/>
            </a:ext>
          </a:extLst>
        </xdr:cNvPr>
        <xdr:cNvGrpSpPr/>
      </xdr:nvGrpSpPr>
      <xdr:grpSpPr>
        <a:xfrm>
          <a:off x="5103405" y="10421817"/>
          <a:ext cx="6681254" cy="4140805"/>
          <a:chOff x="5042200" y="9785287"/>
          <a:chExt cx="6625252" cy="383600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34F54B-739D-8887-4137-95F0C391946B}"/>
              </a:ext>
            </a:extLst>
          </xdr:cNvPr>
          <xdr:cNvGraphicFramePr/>
        </xdr:nvGraphicFramePr>
        <xdr:xfrm>
          <a:off x="5042200" y="9785287"/>
          <a:ext cx="6625252" cy="38360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5711F67-7210-441A-C935-3368A305B9B8}"/>
              </a:ext>
            </a:extLst>
          </xdr:cNvPr>
          <xdr:cNvSpPr txBox="1"/>
        </xdr:nvSpPr>
        <xdr:spPr>
          <a:xfrm>
            <a:off x="5426154" y="11548513"/>
            <a:ext cx="707754" cy="22345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rgbClr val="C00000"/>
                </a:solidFill>
              </a:rPr>
              <a:t>ROP</a:t>
            </a:r>
            <a:r>
              <a:rPr lang="en-US" sz="1100" b="1" baseline="0">
                <a:solidFill>
                  <a:srgbClr val="C00000"/>
                </a:solidFill>
              </a:rPr>
              <a:t> = 2 </a:t>
            </a:r>
            <a:endParaRPr lang="en-US" sz="1100" b="1">
              <a:solidFill>
                <a:srgbClr val="C00000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6F4FECB-051D-22A0-7E08-2BF4DA122A35}"/>
              </a:ext>
            </a:extLst>
          </xdr:cNvPr>
          <xdr:cNvSpPr txBox="1"/>
        </xdr:nvSpPr>
        <xdr:spPr>
          <a:xfrm>
            <a:off x="9008079" y="10943104"/>
            <a:ext cx="730849" cy="22619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accent1"/>
                </a:solidFill>
              </a:rPr>
              <a:t>ROQ = 10</a:t>
            </a:r>
          </a:p>
        </xdr:txBody>
      </xdr:sp>
    </xdr:grpSp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0.04988</cdr:x>
      <cdr:y>0.60767</cdr:y>
    </cdr:from>
    <cdr:to>
      <cdr:x>0.97329</cdr:x>
      <cdr:y>0.85174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2E157E7-B7C0-674B-F328-FEF7B2F30BAF}"/>
            </a:ext>
          </a:extLst>
        </cdr:cNvPr>
        <cdr:cNvSpPr/>
      </cdr:nvSpPr>
      <cdr:spPr>
        <a:xfrm xmlns:a="http://schemas.openxmlformats.org/drawingml/2006/main">
          <a:off x="331540" y="2420504"/>
          <a:ext cx="6137584" cy="972192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818444</xdr:colOff>
      <xdr:row>68</xdr:row>
      <xdr:rowOff>8154</xdr:rowOff>
    </xdr:from>
    <xdr:to>
      <xdr:col>11</xdr:col>
      <xdr:colOff>1583579</xdr:colOff>
      <xdr:row>87</xdr:row>
      <xdr:rowOff>15679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6F020-FC6F-9840-9430-32AA0F0D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4052</xdr:colOff>
      <xdr:row>89</xdr:row>
      <xdr:rowOff>13241</xdr:rowOff>
    </xdr:from>
    <xdr:to>
      <xdr:col>12</xdr:col>
      <xdr:colOff>0</xdr:colOff>
      <xdr:row>106</xdr:row>
      <xdr:rowOff>162128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8B6A1C-15E7-F322-08C3-2C3F2782C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23405</xdr:colOff>
      <xdr:row>46</xdr:row>
      <xdr:rowOff>7817</xdr:rowOff>
    </xdr:from>
    <xdr:to>
      <xdr:col>11</xdr:col>
      <xdr:colOff>1599259</xdr:colOff>
      <xdr:row>65</xdr:row>
      <xdr:rowOff>33822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7DC0988-F922-FC4C-60F5-03FB45801B62}"/>
            </a:ext>
          </a:extLst>
        </xdr:cNvPr>
        <xdr:cNvGrpSpPr/>
      </xdr:nvGrpSpPr>
      <xdr:grpSpPr>
        <a:xfrm>
          <a:off x="5315072" y="10146650"/>
          <a:ext cx="6698187" cy="3984172"/>
          <a:chOff x="5327523" y="10050422"/>
          <a:chExt cx="6687870" cy="3964072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810954C-5A9C-FB47-8F4F-6C164A89FB48}"/>
              </a:ext>
            </a:extLst>
          </xdr:cNvPr>
          <xdr:cNvGraphicFramePr>
            <a:graphicFrameLocks/>
          </xdr:cNvGraphicFramePr>
        </xdr:nvGraphicFramePr>
        <xdr:xfrm>
          <a:off x="5327523" y="10050422"/>
          <a:ext cx="6687870" cy="3964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F7528EBC-CE64-9318-52AA-2B8BAE11B019}"/>
              </a:ext>
            </a:extLst>
          </xdr:cNvPr>
          <xdr:cNvSpPr txBox="1"/>
        </xdr:nvSpPr>
        <xdr:spPr>
          <a:xfrm>
            <a:off x="5705171" y="11990575"/>
            <a:ext cx="755484" cy="21119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rgbClr val="C00000"/>
                </a:solidFill>
              </a:rPr>
              <a:t>ROP</a:t>
            </a:r>
            <a:r>
              <a:rPr lang="en-US" sz="1100" b="1" baseline="0">
                <a:solidFill>
                  <a:srgbClr val="C00000"/>
                </a:solidFill>
              </a:rPr>
              <a:t> = 2</a:t>
            </a:r>
            <a:endParaRPr lang="en-US" sz="1100" b="1">
              <a:solidFill>
                <a:srgbClr val="C00000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68A87E7-CEF6-F12F-F39B-453953D8B77F}"/>
              </a:ext>
            </a:extLst>
          </xdr:cNvPr>
          <xdr:cNvSpPr txBox="1"/>
        </xdr:nvSpPr>
        <xdr:spPr>
          <a:xfrm>
            <a:off x="9264653" y="11143534"/>
            <a:ext cx="744812" cy="20389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accent1"/>
                </a:solidFill>
              </a:rPr>
              <a:t>ROQ</a:t>
            </a:r>
            <a:r>
              <a:rPr lang="en-US" sz="1100" b="1" baseline="0">
                <a:solidFill>
                  <a:schemeClr val="accent1"/>
                </a:solidFill>
              </a:rPr>
              <a:t> = 11</a:t>
            </a:r>
            <a:endParaRPr lang="en-US" sz="11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0.04946</cdr:x>
      <cdr:y>0.6334</cdr:y>
    </cdr:from>
    <cdr:to>
      <cdr:x>0.97287</cdr:x>
      <cdr:y>0.85212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2E157E7-B7C0-674B-F328-FEF7B2F30BAF}"/>
            </a:ext>
          </a:extLst>
        </cdr:cNvPr>
        <cdr:cNvSpPr/>
      </cdr:nvSpPr>
      <cdr:spPr>
        <a:xfrm xmlns:a="http://schemas.openxmlformats.org/drawingml/2006/main">
          <a:off x="330771" y="2510839"/>
          <a:ext cx="6175646" cy="867036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kern="12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818566</xdr:colOff>
      <xdr:row>17</xdr:row>
      <xdr:rowOff>17225</xdr:rowOff>
    </xdr:from>
    <xdr:to>
      <xdr:col>6</xdr:col>
      <xdr:colOff>933202</xdr:colOff>
      <xdr:row>36</xdr:row>
      <xdr:rowOff>79995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6A2C51-B255-7BF0-AC3B-28679AE52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D891-6FD4-4BD9-BDE4-7E62BE80E724}">
  <sheetPr>
    <tabColor theme="2" tint="-9.9978637043366805E-2"/>
  </sheetPr>
  <dimension ref="B2:J60"/>
  <sheetViews>
    <sheetView zoomScale="70" zoomScaleNormal="70" workbookViewId="0">
      <selection activeCell="L42" sqref="L42"/>
    </sheetView>
  </sheetViews>
  <sheetFormatPr baseColWidth="10" defaultColWidth="8.6640625" defaultRowHeight="16" x14ac:dyDescent="0.2"/>
  <cols>
    <col min="1" max="1" width="8.6640625" style="1"/>
    <col min="2" max="2" width="12.83203125" style="1" customWidth="1"/>
    <col min="3" max="3" width="14" style="1" bestFit="1" customWidth="1"/>
    <col min="4" max="5" width="8.6640625" style="1"/>
    <col min="6" max="6" width="8.6640625" style="1" customWidth="1"/>
    <col min="7" max="16384" width="8.6640625" style="1"/>
  </cols>
  <sheetData>
    <row r="2" spans="2:10" x14ac:dyDescent="0.2">
      <c r="B2" s="2" t="s">
        <v>0</v>
      </c>
    </row>
    <row r="4" spans="2:10" x14ac:dyDescent="0.2">
      <c r="B4" s="194" t="s">
        <v>1</v>
      </c>
      <c r="C4" s="195" t="s">
        <v>2</v>
      </c>
      <c r="D4" s="3"/>
      <c r="E4" s="3"/>
      <c r="F4" s="3"/>
      <c r="G4" s="3"/>
      <c r="H4" s="3"/>
      <c r="I4" s="3"/>
      <c r="J4" s="3"/>
    </row>
    <row r="5" spans="2:10" x14ac:dyDescent="0.2">
      <c r="B5" s="196">
        <v>45047</v>
      </c>
      <c r="C5" s="197">
        <v>1576</v>
      </c>
      <c r="D5" s="3"/>
      <c r="E5" s="3"/>
      <c r="F5" s="3"/>
      <c r="G5" s="3"/>
      <c r="H5" s="3"/>
      <c r="I5" s="3"/>
      <c r="J5" s="3"/>
    </row>
    <row r="6" spans="2:10" x14ac:dyDescent="0.2">
      <c r="B6" s="196">
        <v>45048</v>
      </c>
      <c r="C6" s="197">
        <v>2299</v>
      </c>
      <c r="D6" s="3"/>
      <c r="E6" s="3"/>
      <c r="F6" s="3"/>
      <c r="G6" s="3"/>
      <c r="H6" s="3"/>
      <c r="I6" s="3"/>
      <c r="J6" s="3"/>
    </row>
    <row r="7" spans="2:10" x14ac:dyDescent="0.2">
      <c r="B7" s="196">
        <v>45049</v>
      </c>
      <c r="C7" s="197">
        <v>1878</v>
      </c>
      <c r="D7" s="3"/>
      <c r="E7" s="3"/>
      <c r="F7" s="3"/>
      <c r="G7" s="3"/>
      <c r="H7" s="3"/>
      <c r="I7" s="3"/>
      <c r="J7" s="3"/>
    </row>
    <row r="8" spans="2:10" x14ac:dyDescent="0.2">
      <c r="B8" s="196">
        <v>45050</v>
      </c>
      <c r="C8" s="197">
        <v>1628</v>
      </c>
      <c r="D8" s="3"/>
      <c r="E8" s="3"/>
      <c r="F8" s="3"/>
      <c r="G8" s="3"/>
      <c r="H8" s="3"/>
      <c r="I8" s="3"/>
      <c r="J8" s="3"/>
    </row>
    <row r="9" spans="2:10" x14ac:dyDescent="0.2">
      <c r="B9" s="196">
        <v>45051</v>
      </c>
      <c r="C9" s="197">
        <v>1555</v>
      </c>
      <c r="D9" s="3"/>
      <c r="E9" s="3"/>
      <c r="F9" s="3"/>
      <c r="G9" s="3"/>
      <c r="H9" s="3"/>
      <c r="I9" s="3"/>
      <c r="J9" s="3"/>
    </row>
    <row r="10" spans="2:10" x14ac:dyDescent="0.2">
      <c r="B10" s="196">
        <v>45052</v>
      </c>
      <c r="C10" s="197">
        <v>1240</v>
      </c>
      <c r="D10" s="3"/>
      <c r="E10" s="3"/>
      <c r="F10" s="3"/>
      <c r="G10" s="3"/>
      <c r="H10" s="3"/>
      <c r="I10" s="3"/>
      <c r="J10" s="3"/>
    </row>
    <row r="11" spans="2:10" x14ac:dyDescent="0.2">
      <c r="B11" s="196">
        <v>45053</v>
      </c>
      <c r="C11" s="197">
        <v>864</v>
      </c>
      <c r="D11" s="3"/>
      <c r="E11" s="3"/>
      <c r="F11" s="3"/>
      <c r="G11" s="3"/>
      <c r="H11" s="3"/>
      <c r="I11" s="3"/>
      <c r="J11" s="3"/>
    </row>
    <row r="12" spans="2:10" x14ac:dyDescent="0.2">
      <c r="B12" s="196">
        <v>45054</v>
      </c>
      <c r="C12" s="197">
        <v>1882</v>
      </c>
      <c r="D12" s="3"/>
      <c r="E12" s="3"/>
      <c r="F12" s="3"/>
      <c r="G12" s="3"/>
      <c r="H12" s="3"/>
      <c r="I12" s="3"/>
      <c r="J12" s="3"/>
    </row>
    <row r="13" spans="2:10" x14ac:dyDescent="0.2">
      <c r="B13" s="196">
        <v>45055</v>
      </c>
      <c r="C13" s="197">
        <v>2306</v>
      </c>
      <c r="D13" s="3"/>
      <c r="E13" s="3"/>
      <c r="F13" s="3"/>
      <c r="G13" s="3"/>
      <c r="H13" s="3"/>
      <c r="I13" s="3"/>
      <c r="J13" s="3"/>
    </row>
    <row r="14" spans="2:10" x14ac:dyDescent="0.2">
      <c r="B14" s="196">
        <v>45056</v>
      </c>
      <c r="C14" s="197">
        <v>1988</v>
      </c>
      <c r="D14" s="3"/>
      <c r="E14" s="3"/>
      <c r="F14" s="3"/>
      <c r="G14" s="3"/>
      <c r="H14" s="3"/>
      <c r="I14" s="3"/>
      <c r="J14" s="3"/>
    </row>
    <row r="15" spans="2:10" x14ac:dyDescent="0.2">
      <c r="B15" s="196">
        <v>45057</v>
      </c>
      <c r="C15" s="197">
        <v>1886</v>
      </c>
      <c r="D15" s="3"/>
      <c r="E15" s="3"/>
      <c r="F15" s="3"/>
      <c r="G15" s="3"/>
      <c r="H15" s="3"/>
      <c r="I15" s="3"/>
      <c r="J15" s="3"/>
    </row>
    <row r="16" spans="2:10" x14ac:dyDescent="0.2">
      <c r="B16" s="196">
        <v>45058</v>
      </c>
      <c r="C16" s="197">
        <v>1365</v>
      </c>
      <c r="D16" s="3"/>
      <c r="E16" s="3"/>
      <c r="F16" s="3"/>
      <c r="G16" s="3"/>
      <c r="H16" s="3"/>
      <c r="I16" s="3"/>
      <c r="J16" s="3"/>
    </row>
    <row r="17" spans="2:10" x14ac:dyDescent="0.2">
      <c r="B17" s="196">
        <v>45059</v>
      </c>
      <c r="C17" s="197">
        <v>998</v>
      </c>
      <c r="D17" s="3"/>
      <c r="E17" s="3"/>
      <c r="F17" s="3"/>
      <c r="G17" s="3"/>
      <c r="H17" s="3"/>
      <c r="I17" s="3"/>
      <c r="J17" s="3"/>
    </row>
    <row r="18" spans="2:10" x14ac:dyDescent="0.2">
      <c r="B18" s="196">
        <v>45060</v>
      </c>
      <c r="C18" s="197">
        <v>1052</v>
      </c>
      <c r="D18" s="3"/>
      <c r="E18" s="3"/>
      <c r="F18" s="3"/>
      <c r="G18" s="3"/>
      <c r="H18" s="3"/>
      <c r="I18" s="3"/>
      <c r="J18" s="3"/>
    </row>
    <row r="19" spans="2:10" x14ac:dyDescent="0.2">
      <c r="B19" s="196">
        <v>45061</v>
      </c>
      <c r="C19" s="197">
        <v>1905</v>
      </c>
      <c r="D19" s="3"/>
      <c r="E19" s="3"/>
      <c r="F19" s="3"/>
      <c r="G19" s="3"/>
      <c r="H19" s="3"/>
      <c r="I19" s="3"/>
      <c r="J19" s="3"/>
    </row>
    <row r="20" spans="2:10" x14ac:dyDescent="0.2">
      <c r="B20" s="196">
        <v>45062</v>
      </c>
      <c r="C20" s="197">
        <v>1767</v>
      </c>
      <c r="D20" s="3"/>
      <c r="E20" s="3"/>
      <c r="F20" s="3"/>
      <c r="G20" s="3"/>
      <c r="H20" s="3"/>
      <c r="I20" s="3"/>
      <c r="J20" s="3"/>
    </row>
    <row r="21" spans="2:10" x14ac:dyDescent="0.2">
      <c r="B21" s="196">
        <v>45063</v>
      </c>
      <c r="C21" s="197">
        <v>1911</v>
      </c>
      <c r="D21" s="3"/>
      <c r="E21" s="3"/>
      <c r="F21" s="3"/>
      <c r="G21" s="3"/>
      <c r="H21" s="3"/>
      <c r="I21" s="3"/>
      <c r="J21" s="3"/>
    </row>
    <row r="22" spans="2:10" x14ac:dyDescent="0.2">
      <c r="B22" s="196">
        <v>45064</v>
      </c>
      <c r="C22" s="197">
        <v>2036</v>
      </c>
      <c r="D22" s="3"/>
      <c r="E22" s="3"/>
      <c r="F22" s="3"/>
      <c r="G22" s="3"/>
      <c r="H22" s="3"/>
      <c r="I22" s="3"/>
      <c r="J22" s="3"/>
    </row>
    <row r="23" spans="2:10" x14ac:dyDescent="0.2">
      <c r="B23" s="196">
        <v>45065</v>
      </c>
      <c r="C23" s="197">
        <v>1428</v>
      </c>
      <c r="D23" s="3"/>
      <c r="E23" s="3"/>
      <c r="F23" s="3"/>
      <c r="G23" s="3"/>
      <c r="H23" s="3"/>
      <c r="I23" s="3"/>
      <c r="J23" s="3"/>
    </row>
    <row r="24" spans="2:10" x14ac:dyDescent="0.2">
      <c r="B24" s="196">
        <v>45066</v>
      </c>
      <c r="C24" s="197">
        <v>1008</v>
      </c>
      <c r="D24" s="3"/>
      <c r="E24" s="3"/>
      <c r="F24" s="3"/>
      <c r="G24" s="3"/>
      <c r="H24" s="3"/>
      <c r="I24" s="3"/>
      <c r="J24" s="3"/>
    </row>
    <row r="25" spans="2:10" x14ac:dyDescent="0.2">
      <c r="B25" s="196">
        <v>45067</v>
      </c>
      <c r="C25" s="197">
        <v>1082</v>
      </c>
      <c r="D25" s="3"/>
      <c r="E25" s="3"/>
      <c r="F25" s="3"/>
      <c r="G25" s="3"/>
      <c r="H25" s="3"/>
      <c r="I25" s="3"/>
      <c r="J25" s="3"/>
    </row>
    <row r="26" spans="2:10" x14ac:dyDescent="0.2">
      <c r="B26" s="196">
        <v>45068</v>
      </c>
      <c r="C26" s="197">
        <v>1921</v>
      </c>
      <c r="D26" s="3"/>
      <c r="E26" s="3"/>
      <c r="F26" s="3"/>
      <c r="G26" s="3"/>
      <c r="H26" s="3"/>
      <c r="I26" s="3"/>
      <c r="J26" s="3"/>
    </row>
    <row r="27" spans="2:10" x14ac:dyDescent="0.2">
      <c r="B27" s="196">
        <v>45069</v>
      </c>
      <c r="C27" s="197">
        <v>1780</v>
      </c>
      <c r="D27" s="3"/>
      <c r="E27" s="3"/>
      <c r="F27" s="3"/>
      <c r="G27" s="3"/>
      <c r="H27" s="3"/>
      <c r="I27" s="3"/>
      <c r="J27" s="3"/>
    </row>
    <row r="28" spans="2:10" x14ac:dyDescent="0.2">
      <c r="B28" s="196">
        <v>45070</v>
      </c>
      <c r="C28" s="197">
        <v>2071</v>
      </c>
      <c r="D28" s="3"/>
      <c r="E28" s="3"/>
      <c r="F28" s="3"/>
      <c r="G28" s="3"/>
      <c r="H28" s="3"/>
      <c r="I28" s="3"/>
      <c r="J28" s="3"/>
    </row>
    <row r="29" spans="2:10" x14ac:dyDescent="0.2">
      <c r="B29" s="196">
        <v>45071</v>
      </c>
      <c r="C29" s="197">
        <v>1813</v>
      </c>
      <c r="D29" s="3"/>
      <c r="E29" s="3"/>
      <c r="F29" s="3"/>
      <c r="G29" s="3"/>
      <c r="H29" s="3"/>
      <c r="I29" s="3"/>
      <c r="J29" s="3"/>
    </row>
    <row r="30" spans="2:10" x14ac:dyDescent="0.2">
      <c r="B30" s="196">
        <v>45072</v>
      </c>
      <c r="C30" s="197">
        <v>1780</v>
      </c>
      <c r="D30" s="3"/>
      <c r="E30" s="3"/>
      <c r="F30" s="3"/>
      <c r="G30" s="3"/>
      <c r="H30" s="3"/>
      <c r="I30" s="3"/>
      <c r="J30" s="3"/>
    </row>
    <row r="31" spans="2:10" x14ac:dyDescent="0.2">
      <c r="B31" s="196">
        <v>45073</v>
      </c>
      <c r="C31" s="197">
        <v>1236</v>
      </c>
      <c r="D31" s="3"/>
      <c r="E31" s="3"/>
      <c r="F31" s="3"/>
      <c r="G31" s="3"/>
      <c r="H31" s="3"/>
      <c r="I31" s="3"/>
      <c r="J31" s="3"/>
    </row>
    <row r="32" spans="2:10" x14ac:dyDescent="0.2">
      <c r="B32" s="196">
        <v>45074</v>
      </c>
      <c r="C32" s="197">
        <v>1082</v>
      </c>
      <c r="D32" s="3"/>
      <c r="E32" s="3"/>
      <c r="F32" s="3"/>
      <c r="G32" s="3"/>
      <c r="H32" s="3"/>
      <c r="I32" s="3"/>
      <c r="J32" s="3"/>
    </row>
    <row r="33" spans="2:10" x14ac:dyDescent="0.2">
      <c r="B33" s="196">
        <v>45075</v>
      </c>
      <c r="C33" s="197">
        <v>1777</v>
      </c>
      <c r="D33" s="3"/>
      <c r="E33" s="3"/>
      <c r="F33" s="3"/>
      <c r="G33" s="3"/>
      <c r="H33" s="3"/>
      <c r="I33" s="3"/>
      <c r="J33" s="3"/>
    </row>
    <row r="34" spans="2:10" x14ac:dyDescent="0.2">
      <c r="B34" s="196">
        <v>45076</v>
      </c>
      <c r="C34" s="197">
        <v>1766</v>
      </c>
      <c r="D34" s="3"/>
      <c r="E34" s="3"/>
      <c r="F34" s="3"/>
      <c r="G34" s="3"/>
      <c r="H34" s="3"/>
      <c r="I34" s="3"/>
      <c r="J34" s="3"/>
    </row>
    <row r="35" spans="2:10" x14ac:dyDescent="0.2">
      <c r="B35" s="196">
        <v>45077</v>
      </c>
      <c r="C35" s="197">
        <v>1884</v>
      </c>
      <c r="D35" s="3"/>
      <c r="E35" s="3"/>
      <c r="F35" s="3"/>
      <c r="G35" s="3"/>
      <c r="H35" s="3"/>
      <c r="I35" s="3"/>
      <c r="J35" s="3"/>
    </row>
    <row r="36" spans="2:10" x14ac:dyDescent="0.2">
      <c r="B36" s="196">
        <v>45078</v>
      </c>
      <c r="C36" s="197">
        <v>1780</v>
      </c>
      <c r="D36" s="3"/>
      <c r="E36" s="3"/>
      <c r="F36" s="3"/>
      <c r="G36" s="3"/>
      <c r="H36" s="3"/>
      <c r="I36" s="3"/>
      <c r="J36" s="3"/>
    </row>
    <row r="37" spans="2:10" x14ac:dyDescent="0.2">
      <c r="B37" s="196">
        <v>45079</v>
      </c>
      <c r="C37" s="197">
        <v>1572</v>
      </c>
      <c r="D37" s="3"/>
      <c r="E37" s="3"/>
      <c r="F37" s="3"/>
      <c r="G37" s="3"/>
      <c r="H37" s="3"/>
      <c r="I37" s="3"/>
      <c r="J37" s="3"/>
    </row>
    <row r="38" spans="2:10" x14ac:dyDescent="0.2">
      <c r="B38" s="196">
        <v>45080</v>
      </c>
      <c r="C38" s="197">
        <v>948</v>
      </c>
      <c r="D38" s="3"/>
      <c r="E38" s="3"/>
      <c r="F38" s="3"/>
      <c r="G38" s="3"/>
      <c r="H38" s="3"/>
      <c r="I38" s="3"/>
      <c r="J38" s="3"/>
    </row>
    <row r="39" spans="2:10" x14ac:dyDescent="0.2">
      <c r="B39" s="196">
        <v>45081</v>
      </c>
      <c r="C39" s="197">
        <v>1085</v>
      </c>
      <c r="D39" s="3"/>
      <c r="E39" s="3"/>
      <c r="F39" s="3"/>
      <c r="G39" s="3"/>
      <c r="H39" s="3"/>
      <c r="I39" s="3"/>
      <c r="J39" s="3"/>
    </row>
    <row r="40" spans="2:10" x14ac:dyDescent="0.2">
      <c r="B40" s="196">
        <v>45082</v>
      </c>
      <c r="C40" s="197">
        <v>2917</v>
      </c>
      <c r="D40" s="3"/>
      <c r="E40" s="3"/>
      <c r="F40" s="3"/>
      <c r="G40" s="3"/>
      <c r="H40" s="3"/>
      <c r="I40" s="3"/>
      <c r="J40" s="3"/>
    </row>
    <row r="41" spans="2:10" x14ac:dyDescent="0.2">
      <c r="B41" s="196">
        <v>45083</v>
      </c>
      <c r="C41" s="197">
        <v>2801</v>
      </c>
      <c r="D41" s="3"/>
      <c r="E41" s="3"/>
      <c r="F41" s="3"/>
      <c r="G41" s="3"/>
      <c r="H41" s="3"/>
      <c r="I41" s="3"/>
      <c r="J41" s="3"/>
    </row>
    <row r="42" spans="2:10" x14ac:dyDescent="0.2">
      <c r="B42" s="196">
        <v>45084</v>
      </c>
      <c r="C42" s="197">
        <v>3075</v>
      </c>
      <c r="D42" s="3"/>
      <c r="E42" s="3"/>
      <c r="F42" s="3"/>
      <c r="G42" s="3"/>
      <c r="H42" s="3"/>
      <c r="I42" s="3"/>
      <c r="J42" s="3"/>
    </row>
    <row r="43" spans="2:10" x14ac:dyDescent="0.2">
      <c r="B43" s="196">
        <v>45085</v>
      </c>
      <c r="C43" s="197">
        <v>2737</v>
      </c>
      <c r="D43" s="3"/>
      <c r="E43" s="3"/>
      <c r="F43" s="3"/>
      <c r="G43" s="3"/>
      <c r="H43" s="3"/>
      <c r="I43" s="3"/>
      <c r="J43" s="3"/>
    </row>
    <row r="44" spans="2:10" x14ac:dyDescent="0.2">
      <c r="B44" s="196">
        <v>45086</v>
      </c>
      <c r="C44" s="197">
        <v>2329</v>
      </c>
      <c r="D44" s="3"/>
      <c r="E44" s="3"/>
      <c r="F44" s="3"/>
      <c r="G44" s="3"/>
      <c r="H44" s="3"/>
      <c r="I44" s="3"/>
      <c r="J44" s="3"/>
    </row>
    <row r="45" spans="2:10" x14ac:dyDescent="0.2">
      <c r="B45" s="196">
        <v>45087</v>
      </c>
      <c r="C45" s="197">
        <v>1540</v>
      </c>
      <c r="D45" s="3"/>
      <c r="E45" s="3"/>
      <c r="F45" s="3"/>
      <c r="G45" s="3"/>
      <c r="H45" s="3"/>
      <c r="I45" s="3"/>
      <c r="J45" s="3"/>
    </row>
    <row r="46" spans="2:10" x14ac:dyDescent="0.2">
      <c r="B46" s="196">
        <v>45088</v>
      </c>
      <c r="C46" s="197">
        <v>1787</v>
      </c>
      <c r="D46" s="3"/>
      <c r="E46" s="3"/>
      <c r="F46" s="3"/>
      <c r="G46" s="3"/>
      <c r="H46" s="3"/>
      <c r="I46" s="3"/>
      <c r="J46" s="3"/>
    </row>
    <row r="47" spans="2:10" x14ac:dyDescent="0.2">
      <c r="B47" s="196">
        <v>45089</v>
      </c>
      <c r="C47" s="197">
        <v>3102</v>
      </c>
      <c r="D47" s="3"/>
      <c r="E47" s="3"/>
      <c r="F47" s="3"/>
      <c r="G47" s="3"/>
      <c r="H47" s="3"/>
      <c r="I47" s="3"/>
      <c r="J47" s="3"/>
    </row>
    <row r="48" spans="2:10" x14ac:dyDescent="0.2">
      <c r="B48" s="196">
        <v>45090</v>
      </c>
      <c r="C48" s="197">
        <v>2403</v>
      </c>
      <c r="D48" s="3"/>
      <c r="E48" s="3"/>
      <c r="F48" s="3"/>
      <c r="G48" s="3"/>
      <c r="H48" s="3"/>
      <c r="I48" s="3"/>
      <c r="J48" s="3"/>
    </row>
    <row r="49" spans="2:10" x14ac:dyDescent="0.2">
      <c r="B49" s="196">
        <v>45091</v>
      </c>
      <c r="C49" s="197">
        <v>2927</v>
      </c>
      <c r="D49" s="3"/>
      <c r="E49" s="3"/>
      <c r="F49" s="3"/>
      <c r="G49" s="3"/>
      <c r="H49" s="3"/>
      <c r="I49" s="3"/>
      <c r="J49" s="3"/>
    </row>
    <row r="50" spans="2:10" x14ac:dyDescent="0.2">
      <c r="B50" s="196">
        <v>45092</v>
      </c>
      <c r="C50" s="197">
        <v>3213</v>
      </c>
      <c r="D50" s="3"/>
      <c r="E50" s="3"/>
      <c r="F50" s="3"/>
      <c r="G50" s="3"/>
      <c r="H50" s="3"/>
      <c r="I50" s="3"/>
      <c r="J50" s="3"/>
    </row>
    <row r="51" spans="2:10" x14ac:dyDescent="0.2">
      <c r="B51" s="196">
        <v>45093</v>
      </c>
      <c r="C51" s="197">
        <v>2194</v>
      </c>
      <c r="D51" s="3"/>
      <c r="E51" s="3"/>
      <c r="F51" s="3"/>
      <c r="G51" s="3"/>
      <c r="H51" s="3"/>
      <c r="I51" s="3"/>
      <c r="J51" s="3"/>
    </row>
    <row r="52" spans="2:10" x14ac:dyDescent="0.2">
      <c r="B52" s="196">
        <v>45094</v>
      </c>
      <c r="C52" s="197">
        <v>1780</v>
      </c>
      <c r="D52" s="3"/>
      <c r="E52" s="3"/>
      <c r="F52" s="3"/>
      <c r="G52" s="3"/>
      <c r="H52" s="3"/>
      <c r="I52" s="3"/>
      <c r="J52" s="3"/>
    </row>
    <row r="53" spans="2:10" x14ac:dyDescent="0.2">
      <c r="B53" s="196">
        <v>45095</v>
      </c>
      <c r="C53" s="197">
        <v>1408</v>
      </c>
    </row>
    <row r="54" spans="2:10" x14ac:dyDescent="0.2">
      <c r="B54" s="196">
        <v>45096</v>
      </c>
      <c r="C54" s="197">
        <v>2920</v>
      </c>
    </row>
    <row r="55" spans="2:10" x14ac:dyDescent="0.2">
      <c r="B55" s="196">
        <v>45097</v>
      </c>
      <c r="C55" s="197">
        <v>2647</v>
      </c>
    </row>
    <row r="56" spans="2:10" x14ac:dyDescent="0.2">
      <c r="B56" s="196">
        <v>45098</v>
      </c>
      <c r="C56" s="197">
        <v>3020</v>
      </c>
    </row>
    <row r="57" spans="2:10" x14ac:dyDescent="0.2">
      <c r="B57" s="196">
        <v>45099</v>
      </c>
      <c r="C57" s="197">
        <v>2338</v>
      </c>
    </row>
    <row r="58" spans="2:10" x14ac:dyDescent="0.2">
      <c r="B58" s="196">
        <v>45100</v>
      </c>
      <c r="C58" s="197">
        <v>2950</v>
      </c>
    </row>
    <row r="59" spans="2:10" x14ac:dyDescent="0.2">
      <c r="B59" s="196">
        <v>45101</v>
      </c>
      <c r="C59" s="197">
        <v>1601</v>
      </c>
    </row>
    <row r="60" spans="2:10" x14ac:dyDescent="0.2">
      <c r="B60" s="196">
        <v>45102</v>
      </c>
      <c r="C60" s="197">
        <v>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4341-5DA1-224B-9305-5C17B8C53537}">
  <sheetPr>
    <tabColor theme="4" tint="0.59999389629810485"/>
  </sheetPr>
  <dimension ref="A1:F57"/>
  <sheetViews>
    <sheetView tabSelected="1" workbookViewId="0">
      <selection activeCell="O17" sqref="O17"/>
    </sheetView>
  </sheetViews>
  <sheetFormatPr baseColWidth="10" defaultRowHeight="15" x14ac:dyDescent="0.2"/>
  <cols>
    <col min="1" max="1" width="10.83203125" style="4"/>
    <col min="3" max="16384" width="10.83203125" style="4"/>
  </cols>
  <sheetData>
    <row r="1" spans="1:6" ht="21" thickBot="1" x14ac:dyDescent="0.25">
      <c r="A1" s="9" t="s">
        <v>1</v>
      </c>
      <c r="B1" s="10" t="s">
        <v>4</v>
      </c>
      <c r="C1" s="10" t="s">
        <v>2</v>
      </c>
      <c r="D1" s="10" t="s">
        <v>3</v>
      </c>
      <c r="E1" s="10" t="s">
        <v>12</v>
      </c>
      <c r="F1" s="11" t="s">
        <v>13</v>
      </c>
    </row>
    <row r="2" spans="1:6" ht="16" x14ac:dyDescent="0.2">
      <c r="A2" s="17">
        <v>45047</v>
      </c>
      <c r="B2" s="13" t="s">
        <v>5</v>
      </c>
      <c r="C2" s="14">
        <v>1576</v>
      </c>
      <c r="D2" s="13"/>
      <c r="E2" s="13"/>
      <c r="F2" s="18"/>
    </row>
    <row r="3" spans="1:6" ht="16" x14ac:dyDescent="0.2">
      <c r="A3" s="17">
        <v>45048</v>
      </c>
      <c r="B3" s="13" t="s">
        <v>6</v>
      </c>
      <c r="C3" s="14">
        <v>2299</v>
      </c>
      <c r="D3" s="15">
        <f>AVERAGE(C2:C4)</f>
        <v>1917.6666666666667</v>
      </c>
      <c r="E3" s="13"/>
      <c r="F3" s="18"/>
    </row>
    <row r="4" spans="1:6" ht="16" x14ac:dyDescent="0.2">
      <c r="A4" s="17">
        <v>45049</v>
      </c>
      <c r="B4" s="13" t="s">
        <v>7</v>
      </c>
      <c r="C4" s="14">
        <v>1878</v>
      </c>
      <c r="D4" s="15">
        <f t="shared" ref="D4:D56" si="0">AVERAGE(C3:C5)</f>
        <v>1935</v>
      </c>
      <c r="E4" s="13"/>
      <c r="F4" s="18"/>
    </row>
    <row r="5" spans="1:6" ht="16" x14ac:dyDescent="0.2">
      <c r="A5" s="17">
        <v>45050</v>
      </c>
      <c r="B5" s="13" t="s">
        <v>8</v>
      </c>
      <c r="C5" s="14">
        <v>1628</v>
      </c>
      <c r="D5" s="15">
        <f t="shared" si="0"/>
        <v>1687</v>
      </c>
      <c r="E5" s="15">
        <f>AVERAGE(C2:C8)</f>
        <v>1577.1428571428571</v>
      </c>
      <c r="F5" s="18"/>
    </row>
    <row r="6" spans="1:6" ht="16" x14ac:dyDescent="0.2">
      <c r="A6" s="17">
        <v>45051</v>
      </c>
      <c r="B6" s="13" t="s">
        <v>9</v>
      </c>
      <c r="C6" s="14">
        <v>1555</v>
      </c>
      <c r="D6" s="15">
        <f t="shared" si="0"/>
        <v>1474.3333333333333</v>
      </c>
      <c r="E6" s="15">
        <f t="shared" ref="E6:E54" si="1">AVERAGE(C3:C9)</f>
        <v>1620.8571428571429</v>
      </c>
      <c r="F6" s="18"/>
    </row>
    <row r="7" spans="1:6" ht="16" x14ac:dyDescent="0.2">
      <c r="A7" s="17">
        <v>45052</v>
      </c>
      <c r="B7" s="13" t="s">
        <v>10</v>
      </c>
      <c r="C7" s="14">
        <v>1240</v>
      </c>
      <c r="D7" s="15">
        <f t="shared" si="0"/>
        <v>1219.6666666666667</v>
      </c>
      <c r="E7" s="15">
        <f t="shared" si="1"/>
        <v>1621.8571428571429</v>
      </c>
      <c r="F7" s="18"/>
    </row>
    <row r="8" spans="1:6" ht="16" x14ac:dyDescent="0.2">
      <c r="A8" s="17">
        <v>45053</v>
      </c>
      <c r="B8" s="13" t="s">
        <v>11</v>
      </c>
      <c r="C8" s="14">
        <v>864</v>
      </c>
      <c r="D8" s="15">
        <f t="shared" si="0"/>
        <v>1328.6666666666667</v>
      </c>
      <c r="E8" s="15">
        <f t="shared" si="1"/>
        <v>1637.5714285714287</v>
      </c>
      <c r="F8" s="18"/>
    </row>
    <row r="9" spans="1:6" ht="16" x14ac:dyDescent="0.2">
      <c r="A9" s="17">
        <v>45054</v>
      </c>
      <c r="B9" s="13" t="s">
        <v>5</v>
      </c>
      <c r="C9" s="14">
        <v>1882</v>
      </c>
      <c r="D9" s="15">
        <f t="shared" si="0"/>
        <v>1684</v>
      </c>
      <c r="E9" s="15">
        <f t="shared" si="1"/>
        <v>1674.4285714285713</v>
      </c>
      <c r="F9" s="19">
        <f>(C2/2 +SUM(C3:C15) + C16/2)/14</f>
        <v>1620.1071428571429</v>
      </c>
    </row>
    <row r="10" spans="1:6" ht="16" x14ac:dyDescent="0.2">
      <c r="A10" s="17">
        <v>45055</v>
      </c>
      <c r="B10" s="13" t="s">
        <v>6</v>
      </c>
      <c r="C10" s="14">
        <v>2306</v>
      </c>
      <c r="D10" s="15">
        <f t="shared" si="0"/>
        <v>2058.6666666666665</v>
      </c>
      <c r="E10" s="15">
        <f t="shared" si="1"/>
        <v>1647.2857142857142</v>
      </c>
      <c r="F10" s="19">
        <f t="shared" ref="F10:F50" si="2">(C3/2 +SUM(C4:C16) + C17/2)/14</f>
        <v>1612.8571428571429</v>
      </c>
    </row>
    <row r="11" spans="1:6" ht="16" x14ac:dyDescent="0.2">
      <c r="A11" s="17">
        <v>45056</v>
      </c>
      <c r="B11" s="13" t="s">
        <v>7</v>
      </c>
      <c r="C11" s="14">
        <v>1988</v>
      </c>
      <c r="D11" s="15">
        <f t="shared" si="0"/>
        <v>2060</v>
      </c>
      <c r="E11" s="15">
        <f t="shared" si="1"/>
        <v>1612.7142857142858</v>
      </c>
      <c r="F11" s="19">
        <f t="shared" si="2"/>
        <v>1595.0357142857142</v>
      </c>
    </row>
    <row r="12" spans="1:6" ht="16" x14ac:dyDescent="0.2">
      <c r="A12" s="17">
        <v>45057</v>
      </c>
      <c r="B12" s="13" t="s">
        <v>8</v>
      </c>
      <c r="C12" s="14">
        <v>1886</v>
      </c>
      <c r="D12" s="15">
        <f t="shared" si="0"/>
        <v>1746.3333333333333</v>
      </c>
      <c r="E12" s="15">
        <f t="shared" si="1"/>
        <v>1639.5714285714287</v>
      </c>
      <c r="F12" s="19">
        <f t="shared" si="2"/>
        <v>1610.7857142857142</v>
      </c>
    </row>
    <row r="13" spans="1:6" ht="16" x14ac:dyDescent="0.2">
      <c r="A13" s="17">
        <v>45058</v>
      </c>
      <c r="B13" s="13" t="s">
        <v>9</v>
      </c>
      <c r="C13" s="14">
        <v>1365</v>
      </c>
      <c r="D13" s="15">
        <f t="shared" si="0"/>
        <v>1416.3333333333333</v>
      </c>
      <c r="E13" s="15">
        <f t="shared" si="1"/>
        <v>1642.8571428571429</v>
      </c>
      <c r="F13" s="19">
        <f t="shared" si="2"/>
        <v>1620.8214285714287</v>
      </c>
    </row>
    <row r="14" spans="1:6" ht="16" x14ac:dyDescent="0.2">
      <c r="A14" s="17">
        <v>45059</v>
      </c>
      <c r="B14" s="13" t="s">
        <v>10</v>
      </c>
      <c r="C14" s="14">
        <v>998</v>
      </c>
      <c r="D14" s="15">
        <f t="shared" si="0"/>
        <v>1138.3333333333333</v>
      </c>
      <c r="E14" s="15">
        <f t="shared" si="1"/>
        <v>1565.8571428571429</v>
      </c>
      <c r="F14" s="19">
        <f t="shared" si="2"/>
        <v>1608</v>
      </c>
    </row>
    <row r="15" spans="1:6" ht="16" x14ac:dyDescent="0.2">
      <c r="A15" s="17">
        <v>45060</v>
      </c>
      <c r="B15" s="13" t="s">
        <v>11</v>
      </c>
      <c r="C15" s="14">
        <v>1052</v>
      </c>
      <c r="D15" s="15">
        <f t="shared" si="0"/>
        <v>1318.3333333333333</v>
      </c>
      <c r="E15" s="15">
        <f t="shared" si="1"/>
        <v>1554.8571428571429</v>
      </c>
      <c r="F15" s="19">
        <f t="shared" si="2"/>
        <v>1607.5</v>
      </c>
    </row>
    <row r="16" spans="1:6" ht="16" x14ac:dyDescent="0.2">
      <c r="A16" s="17">
        <v>45061</v>
      </c>
      <c r="B16" s="13" t="s">
        <v>5</v>
      </c>
      <c r="C16" s="14">
        <v>1905</v>
      </c>
      <c r="D16" s="15">
        <f t="shared" si="0"/>
        <v>1574.6666666666667</v>
      </c>
      <c r="E16" s="15">
        <f t="shared" si="1"/>
        <v>1576.2857142857142</v>
      </c>
      <c r="F16" s="19">
        <f t="shared" si="2"/>
        <v>1616.6785714285713</v>
      </c>
    </row>
    <row r="17" spans="1:6" ht="16" x14ac:dyDescent="0.2">
      <c r="A17" s="17">
        <v>45062</v>
      </c>
      <c r="B17" s="13" t="s">
        <v>6</v>
      </c>
      <c r="C17" s="14">
        <v>1767</v>
      </c>
      <c r="D17" s="15">
        <f t="shared" si="0"/>
        <v>1861</v>
      </c>
      <c r="E17" s="15">
        <f t="shared" si="1"/>
        <v>1585.2857142857142</v>
      </c>
      <c r="F17" s="19">
        <f t="shared" si="2"/>
        <v>1599.2857142857142</v>
      </c>
    </row>
    <row r="18" spans="1:6" ht="16" x14ac:dyDescent="0.2">
      <c r="A18" s="17">
        <v>45063</v>
      </c>
      <c r="B18" s="13" t="s">
        <v>7</v>
      </c>
      <c r="C18" s="14">
        <v>1911</v>
      </c>
      <c r="D18" s="15">
        <f t="shared" si="0"/>
        <v>1904.6666666666667</v>
      </c>
      <c r="E18" s="15">
        <f t="shared" si="1"/>
        <v>1586.7142857142858</v>
      </c>
      <c r="F18" s="19">
        <f t="shared" si="2"/>
        <v>1583.4642857142858</v>
      </c>
    </row>
    <row r="19" spans="1:6" ht="16" x14ac:dyDescent="0.2">
      <c r="A19" s="17">
        <v>45064</v>
      </c>
      <c r="B19" s="13" t="s">
        <v>8</v>
      </c>
      <c r="C19" s="14">
        <v>2036</v>
      </c>
      <c r="D19" s="15">
        <f t="shared" si="0"/>
        <v>1791.6666666666667</v>
      </c>
      <c r="E19" s="15">
        <f t="shared" si="1"/>
        <v>1591</v>
      </c>
      <c r="F19" s="19">
        <f t="shared" si="2"/>
        <v>1583.8214285714287</v>
      </c>
    </row>
    <row r="20" spans="1:6" ht="16" x14ac:dyDescent="0.2">
      <c r="A20" s="17">
        <v>45065</v>
      </c>
      <c r="B20" s="13" t="s">
        <v>9</v>
      </c>
      <c r="C20" s="14">
        <v>1428</v>
      </c>
      <c r="D20" s="15">
        <f t="shared" si="0"/>
        <v>1490.6666666666667</v>
      </c>
      <c r="E20" s="15">
        <f t="shared" si="1"/>
        <v>1593.2857142857142</v>
      </c>
      <c r="F20" s="19">
        <f t="shared" si="2"/>
        <v>1596.0357142857142</v>
      </c>
    </row>
    <row r="21" spans="1:6" ht="16" x14ac:dyDescent="0.2">
      <c r="A21" s="17">
        <v>45066</v>
      </c>
      <c r="B21" s="13" t="s">
        <v>10</v>
      </c>
      <c r="C21" s="14">
        <v>1008</v>
      </c>
      <c r="D21" s="15">
        <f t="shared" si="0"/>
        <v>1172.6666666666667</v>
      </c>
      <c r="E21" s="15">
        <f t="shared" si="1"/>
        <v>1595.1428571428571</v>
      </c>
      <c r="F21" s="19">
        <f t="shared" si="2"/>
        <v>1619.3571428571429</v>
      </c>
    </row>
    <row r="22" spans="1:6" ht="16" x14ac:dyDescent="0.2">
      <c r="A22" s="17">
        <v>45067</v>
      </c>
      <c r="B22" s="13" t="s">
        <v>11</v>
      </c>
      <c r="C22" s="14">
        <v>1082</v>
      </c>
      <c r="D22" s="15">
        <f t="shared" si="0"/>
        <v>1337</v>
      </c>
      <c r="E22" s="15">
        <f t="shared" si="1"/>
        <v>1618</v>
      </c>
      <c r="F22" s="19">
        <f t="shared" si="2"/>
        <v>1628.9285714285713</v>
      </c>
    </row>
    <row r="23" spans="1:6" ht="16" x14ac:dyDescent="0.2">
      <c r="A23" s="17">
        <v>45068</v>
      </c>
      <c r="B23" s="13" t="s">
        <v>5</v>
      </c>
      <c r="C23" s="14">
        <v>1921</v>
      </c>
      <c r="D23" s="15">
        <f t="shared" si="0"/>
        <v>1594.3333333333333</v>
      </c>
      <c r="E23" s="15">
        <f t="shared" si="1"/>
        <v>1586.1428571428571</v>
      </c>
      <c r="F23" s="19">
        <f t="shared" si="2"/>
        <v>1625.4285714285713</v>
      </c>
    </row>
    <row r="24" spans="1:6" ht="16" x14ac:dyDescent="0.2">
      <c r="A24" s="17">
        <v>45069</v>
      </c>
      <c r="B24" s="13" t="s">
        <v>6</v>
      </c>
      <c r="C24" s="14">
        <v>1780</v>
      </c>
      <c r="D24" s="15">
        <f t="shared" si="0"/>
        <v>1924</v>
      </c>
      <c r="E24" s="15">
        <f t="shared" si="1"/>
        <v>1636.4285714285713</v>
      </c>
      <c r="F24" s="19">
        <f t="shared" si="2"/>
        <v>1620.8214285714287</v>
      </c>
    </row>
    <row r="25" spans="1:6" ht="16" x14ac:dyDescent="0.2">
      <c r="A25" s="17">
        <v>45070</v>
      </c>
      <c r="B25" s="13" t="s">
        <v>7</v>
      </c>
      <c r="C25" s="14">
        <v>2071</v>
      </c>
      <c r="D25" s="15">
        <f t="shared" si="0"/>
        <v>1888</v>
      </c>
      <c r="E25" s="15">
        <f t="shared" si="1"/>
        <v>1669</v>
      </c>
      <c r="F25" s="19">
        <f t="shared" si="2"/>
        <v>1619.8214285714287</v>
      </c>
    </row>
    <row r="26" spans="1:6" ht="16" x14ac:dyDescent="0.2">
      <c r="A26" s="17">
        <v>45071</v>
      </c>
      <c r="B26" s="13" t="s">
        <v>8</v>
      </c>
      <c r="C26" s="14">
        <v>1813</v>
      </c>
      <c r="D26" s="15">
        <f t="shared" si="0"/>
        <v>1888</v>
      </c>
      <c r="E26" s="15">
        <f t="shared" si="1"/>
        <v>1669</v>
      </c>
      <c r="F26" s="19">
        <f t="shared" si="2"/>
        <v>1609.7142857142858</v>
      </c>
    </row>
    <row r="27" spans="1:6" ht="16" x14ac:dyDescent="0.2">
      <c r="A27" s="17">
        <v>45072</v>
      </c>
      <c r="B27" s="13" t="s">
        <v>9</v>
      </c>
      <c r="C27" s="14">
        <v>1780</v>
      </c>
      <c r="D27" s="15">
        <f t="shared" si="0"/>
        <v>1609.6666666666667</v>
      </c>
      <c r="E27" s="15">
        <f t="shared" si="1"/>
        <v>1648.4285714285713</v>
      </c>
      <c r="F27" s="19">
        <f t="shared" si="2"/>
        <v>1605.7142857142858</v>
      </c>
    </row>
    <row r="28" spans="1:6" ht="16" x14ac:dyDescent="0.2">
      <c r="A28" s="17">
        <v>45073</v>
      </c>
      <c r="B28" s="13" t="s">
        <v>10</v>
      </c>
      <c r="C28" s="14">
        <v>1236</v>
      </c>
      <c r="D28" s="15">
        <f t="shared" si="0"/>
        <v>1366</v>
      </c>
      <c r="E28" s="15">
        <f t="shared" si="1"/>
        <v>1646.4285714285713</v>
      </c>
      <c r="F28" s="19">
        <f t="shared" si="2"/>
        <v>1608.7142857142858</v>
      </c>
    </row>
    <row r="29" spans="1:6" ht="16" x14ac:dyDescent="0.2">
      <c r="A29" s="17">
        <v>45074</v>
      </c>
      <c r="B29" s="13" t="s">
        <v>11</v>
      </c>
      <c r="C29" s="14">
        <v>1082</v>
      </c>
      <c r="D29" s="15">
        <f t="shared" si="0"/>
        <v>1365</v>
      </c>
      <c r="E29" s="15">
        <f t="shared" si="1"/>
        <v>1619.7142857142858</v>
      </c>
      <c r="F29" s="19">
        <f t="shared" si="2"/>
        <v>1606.6785714285713</v>
      </c>
    </row>
    <row r="30" spans="1:6" ht="16" x14ac:dyDescent="0.2">
      <c r="A30" s="17">
        <v>45075</v>
      </c>
      <c r="B30" s="13" t="s">
        <v>5</v>
      </c>
      <c r="C30" s="14">
        <v>1777</v>
      </c>
      <c r="D30" s="15">
        <f t="shared" si="0"/>
        <v>1541.6666666666667</v>
      </c>
      <c r="E30" s="15">
        <f t="shared" si="1"/>
        <v>1615</v>
      </c>
      <c r="F30" s="19">
        <f t="shared" si="2"/>
        <v>1642.3571428571429</v>
      </c>
    </row>
    <row r="31" spans="1:6" ht="16" x14ac:dyDescent="0.2">
      <c r="A31" s="17">
        <v>45076</v>
      </c>
      <c r="B31" s="13" t="s">
        <v>6</v>
      </c>
      <c r="C31" s="14">
        <v>1766</v>
      </c>
      <c r="D31" s="15">
        <f t="shared" si="0"/>
        <v>1809</v>
      </c>
      <c r="E31" s="15">
        <f t="shared" si="1"/>
        <v>1585.2857142857142</v>
      </c>
      <c r="F31" s="19">
        <f t="shared" si="2"/>
        <v>1714.3928571428571</v>
      </c>
    </row>
    <row r="32" spans="1:6" ht="16" x14ac:dyDescent="0.2">
      <c r="A32" s="17">
        <v>45077</v>
      </c>
      <c r="B32" s="13" t="s">
        <v>7</v>
      </c>
      <c r="C32" s="14">
        <v>1884</v>
      </c>
      <c r="D32" s="15">
        <f t="shared" si="0"/>
        <v>1810</v>
      </c>
      <c r="E32" s="15">
        <f t="shared" si="1"/>
        <v>1544.1428571428571</v>
      </c>
      <c r="F32" s="19">
        <f t="shared" si="2"/>
        <v>1786.7142857142858</v>
      </c>
    </row>
    <row r="33" spans="1:6" ht="16" x14ac:dyDescent="0.2">
      <c r="A33" s="17">
        <v>45078</v>
      </c>
      <c r="B33" s="13" t="s">
        <v>8</v>
      </c>
      <c r="C33" s="14">
        <v>1780</v>
      </c>
      <c r="D33" s="15">
        <f t="shared" si="0"/>
        <v>1745.3333333333333</v>
      </c>
      <c r="E33" s="15">
        <f t="shared" si="1"/>
        <v>1544.5714285714287</v>
      </c>
      <c r="F33" s="19">
        <f t="shared" si="2"/>
        <v>1855.5714285714287</v>
      </c>
    </row>
    <row r="34" spans="1:6" ht="16" x14ac:dyDescent="0.2">
      <c r="A34" s="17">
        <v>45079</v>
      </c>
      <c r="B34" s="13" t="s">
        <v>9</v>
      </c>
      <c r="C34" s="14">
        <v>1572</v>
      </c>
      <c r="D34" s="15">
        <f t="shared" si="0"/>
        <v>1433.3333333333333</v>
      </c>
      <c r="E34" s="15">
        <f t="shared" si="1"/>
        <v>1707.4285714285713</v>
      </c>
      <c r="F34" s="19">
        <f t="shared" si="2"/>
        <v>1908.1785714285713</v>
      </c>
    </row>
    <row r="35" spans="1:6" ht="16" x14ac:dyDescent="0.2">
      <c r="A35" s="17">
        <v>45080</v>
      </c>
      <c r="B35" s="13" t="s">
        <v>10</v>
      </c>
      <c r="C35" s="14">
        <v>948</v>
      </c>
      <c r="D35" s="15">
        <f t="shared" si="0"/>
        <v>1201.6666666666667</v>
      </c>
      <c r="E35" s="15">
        <f t="shared" si="1"/>
        <v>1855.2857142857142</v>
      </c>
      <c r="F35" s="19">
        <f t="shared" si="2"/>
        <v>1938.6428571428571</v>
      </c>
    </row>
    <row r="36" spans="1:6" ht="16" x14ac:dyDescent="0.2">
      <c r="A36" s="17">
        <v>45081</v>
      </c>
      <c r="B36" s="13" t="s">
        <v>11</v>
      </c>
      <c r="C36" s="14">
        <v>1085</v>
      </c>
      <c r="D36" s="15">
        <f t="shared" si="0"/>
        <v>1650</v>
      </c>
      <c r="E36" s="15">
        <f t="shared" si="1"/>
        <v>2025.4285714285713</v>
      </c>
      <c r="F36" s="19">
        <f t="shared" si="2"/>
        <v>1974.6785714285713</v>
      </c>
    </row>
    <row r="37" spans="1:6" ht="16" x14ac:dyDescent="0.2">
      <c r="A37" s="17">
        <v>45082</v>
      </c>
      <c r="B37" s="13" t="s">
        <v>5</v>
      </c>
      <c r="C37" s="14">
        <v>2917</v>
      </c>
      <c r="D37" s="15">
        <f t="shared" si="0"/>
        <v>2267.6666666666665</v>
      </c>
      <c r="E37" s="15">
        <f t="shared" si="1"/>
        <v>2162.1428571428573</v>
      </c>
      <c r="F37" s="19">
        <f t="shared" si="2"/>
        <v>2047.1785714285713</v>
      </c>
    </row>
    <row r="38" spans="1:6" ht="16" x14ac:dyDescent="0.2">
      <c r="A38" s="17">
        <v>45083</v>
      </c>
      <c r="B38" s="13" t="s">
        <v>6</v>
      </c>
      <c r="C38" s="14">
        <v>2801</v>
      </c>
      <c r="D38" s="15">
        <f t="shared" si="0"/>
        <v>2931</v>
      </c>
      <c r="E38" s="15">
        <f t="shared" si="1"/>
        <v>2270.2857142857142</v>
      </c>
      <c r="F38" s="19">
        <f t="shared" si="2"/>
        <v>2117.25</v>
      </c>
    </row>
    <row r="39" spans="1:6" ht="16" x14ac:dyDescent="0.2">
      <c r="A39" s="17">
        <v>45084</v>
      </c>
      <c r="B39" s="13" t="s">
        <v>7</v>
      </c>
      <c r="C39" s="14">
        <v>3075</v>
      </c>
      <c r="D39" s="15">
        <f t="shared" si="0"/>
        <v>2871</v>
      </c>
      <c r="E39" s="15">
        <f t="shared" si="1"/>
        <v>2354.8571428571427</v>
      </c>
      <c r="F39" s="19">
        <f t="shared" si="2"/>
        <v>2177.25</v>
      </c>
    </row>
    <row r="40" spans="1:6" ht="16" x14ac:dyDescent="0.2">
      <c r="A40" s="17">
        <v>45085</v>
      </c>
      <c r="B40" s="13" t="s">
        <v>8</v>
      </c>
      <c r="C40" s="14">
        <v>2737</v>
      </c>
      <c r="D40" s="15">
        <f t="shared" si="0"/>
        <v>2713.6666666666665</v>
      </c>
      <c r="E40" s="15">
        <f t="shared" si="1"/>
        <v>2455.1428571428573</v>
      </c>
      <c r="F40" s="19">
        <f t="shared" si="2"/>
        <v>2265.6785714285716</v>
      </c>
    </row>
    <row r="41" spans="1:6" ht="16" x14ac:dyDescent="0.2">
      <c r="A41" s="17">
        <v>45086</v>
      </c>
      <c r="B41" s="13" t="s">
        <v>9</v>
      </c>
      <c r="C41" s="14">
        <v>2329</v>
      </c>
      <c r="D41" s="15">
        <f t="shared" si="0"/>
        <v>2202</v>
      </c>
      <c r="E41" s="15">
        <f t="shared" si="1"/>
        <v>2481.5714285714284</v>
      </c>
      <c r="F41" s="19">
        <f t="shared" si="2"/>
        <v>2339.0714285714284</v>
      </c>
    </row>
    <row r="42" spans="1:6" ht="16" x14ac:dyDescent="0.2">
      <c r="A42" s="17">
        <v>45087</v>
      </c>
      <c r="B42" s="13" t="s">
        <v>10</v>
      </c>
      <c r="C42" s="14">
        <v>1540</v>
      </c>
      <c r="D42" s="15">
        <f t="shared" si="0"/>
        <v>1885.3333333333333</v>
      </c>
      <c r="E42" s="15">
        <f t="shared" si="1"/>
        <v>2424.7142857142858</v>
      </c>
      <c r="F42" s="19">
        <f t="shared" si="2"/>
        <v>2391</v>
      </c>
    </row>
    <row r="43" spans="1:6" ht="16" x14ac:dyDescent="0.2">
      <c r="A43" s="17">
        <v>45088</v>
      </c>
      <c r="B43" s="13" t="s">
        <v>11</v>
      </c>
      <c r="C43" s="14">
        <v>1787</v>
      </c>
      <c r="D43" s="15">
        <f t="shared" si="0"/>
        <v>2143</v>
      </c>
      <c r="E43" s="15">
        <f t="shared" si="1"/>
        <v>2403.5714285714284</v>
      </c>
      <c r="F43" s="19">
        <f t="shared" si="2"/>
        <v>2432.25</v>
      </c>
    </row>
    <row r="44" spans="1:6" ht="16" x14ac:dyDescent="0.2">
      <c r="A44" s="17">
        <v>45089</v>
      </c>
      <c r="B44" s="13" t="s">
        <v>5</v>
      </c>
      <c r="C44" s="14">
        <v>3102</v>
      </c>
      <c r="D44" s="15">
        <f t="shared" si="0"/>
        <v>2430.6666666666665</v>
      </c>
      <c r="E44" s="15">
        <f t="shared" si="1"/>
        <v>2471.5714285714284</v>
      </c>
      <c r="F44" s="19">
        <f t="shared" si="2"/>
        <v>2443.8928571428573</v>
      </c>
    </row>
    <row r="45" spans="1:6" ht="16" x14ac:dyDescent="0.2">
      <c r="A45" s="17">
        <v>45090</v>
      </c>
      <c r="B45" s="13" t="s">
        <v>6</v>
      </c>
      <c r="C45" s="14">
        <v>2403</v>
      </c>
      <c r="D45" s="15">
        <f t="shared" si="0"/>
        <v>2810.6666666666665</v>
      </c>
      <c r="E45" s="15">
        <f t="shared" si="1"/>
        <v>2452.2857142857142</v>
      </c>
      <c r="F45" s="19">
        <f t="shared" si="2"/>
        <v>2438.5</v>
      </c>
    </row>
    <row r="46" spans="1:6" ht="16" x14ac:dyDescent="0.2">
      <c r="A46" s="17">
        <v>45091</v>
      </c>
      <c r="B46" s="13" t="s">
        <v>7</v>
      </c>
      <c r="C46" s="14">
        <v>2927</v>
      </c>
      <c r="D46" s="15">
        <f t="shared" si="0"/>
        <v>2847.6666666666665</v>
      </c>
      <c r="E46" s="15">
        <f t="shared" si="1"/>
        <v>2486.5714285714284</v>
      </c>
      <c r="F46" s="19">
        <f t="shared" si="2"/>
        <v>2431.0357142857142</v>
      </c>
    </row>
    <row r="47" spans="1:6" ht="16" x14ac:dyDescent="0.2">
      <c r="A47" s="17">
        <v>45092</v>
      </c>
      <c r="B47" s="13" t="s">
        <v>8</v>
      </c>
      <c r="C47" s="14">
        <v>3213</v>
      </c>
      <c r="D47" s="15">
        <f t="shared" si="0"/>
        <v>2778</v>
      </c>
      <c r="E47" s="15">
        <f t="shared" si="1"/>
        <v>2432.4285714285716</v>
      </c>
      <c r="F47" s="19">
        <f t="shared" si="2"/>
        <v>2414.8214285714284</v>
      </c>
    </row>
    <row r="48" spans="1:6" ht="16" x14ac:dyDescent="0.2">
      <c r="A48" s="17">
        <v>45093</v>
      </c>
      <c r="B48" s="13" t="s">
        <v>9</v>
      </c>
      <c r="C48" s="14">
        <v>2194</v>
      </c>
      <c r="D48" s="15">
        <f t="shared" si="0"/>
        <v>2395.6666666666665</v>
      </c>
      <c r="E48" s="15">
        <f t="shared" si="1"/>
        <v>2406.4285714285716</v>
      </c>
      <c r="F48" s="19">
        <f t="shared" si="2"/>
        <v>2422.75</v>
      </c>
    </row>
    <row r="49" spans="1:6" ht="16" x14ac:dyDescent="0.2">
      <c r="A49" s="17">
        <v>45094</v>
      </c>
      <c r="B49" s="13" t="s">
        <v>10</v>
      </c>
      <c r="C49" s="14">
        <v>1780</v>
      </c>
      <c r="D49" s="15">
        <f t="shared" si="0"/>
        <v>1794</v>
      </c>
      <c r="E49" s="15">
        <f t="shared" si="1"/>
        <v>2441.2857142857142</v>
      </c>
      <c r="F49" s="19">
        <f t="shared" si="2"/>
        <v>2447.1071428571427</v>
      </c>
    </row>
    <row r="50" spans="1:6" ht="16" x14ac:dyDescent="0.2">
      <c r="A50" s="17">
        <v>45095</v>
      </c>
      <c r="B50" s="13" t="s">
        <v>11</v>
      </c>
      <c r="C50" s="14">
        <v>1408</v>
      </c>
      <c r="D50" s="15">
        <f t="shared" si="0"/>
        <v>2036</v>
      </c>
      <c r="E50" s="15">
        <f t="shared" si="1"/>
        <v>2454.5714285714284</v>
      </c>
      <c r="F50" s="19">
        <f t="shared" si="2"/>
        <v>2443.1428571428573</v>
      </c>
    </row>
    <row r="51" spans="1:6" ht="16" x14ac:dyDescent="0.2">
      <c r="A51" s="17">
        <v>45096</v>
      </c>
      <c r="B51" s="13" t="s">
        <v>5</v>
      </c>
      <c r="C51" s="14">
        <v>2920</v>
      </c>
      <c r="D51" s="15">
        <f t="shared" si="0"/>
        <v>2325</v>
      </c>
      <c r="E51" s="15">
        <f t="shared" si="1"/>
        <v>2329.5714285714284</v>
      </c>
      <c r="F51" s="19"/>
    </row>
    <row r="52" spans="1:6" ht="16" x14ac:dyDescent="0.2">
      <c r="A52" s="17">
        <v>45097</v>
      </c>
      <c r="B52" s="13" t="s">
        <v>6</v>
      </c>
      <c r="C52" s="14">
        <v>2647</v>
      </c>
      <c r="D52" s="15">
        <f t="shared" si="0"/>
        <v>2862.3333333333335</v>
      </c>
      <c r="E52" s="15">
        <f t="shared" si="1"/>
        <v>2437.5714285714284</v>
      </c>
      <c r="F52" s="18"/>
    </row>
    <row r="53" spans="1:6" ht="16" x14ac:dyDescent="0.2">
      <c r="A53" s="17">
        <v>45098</v>
      </c>
      <c r="B53" s="13" t="s">
        <v>7</v>
      </c>
      <c r="C53" s="14">
        <v>3020</v>
      </c>
      <c r="D53" s="15">
        <f t="shared" si="0"/>
        <v>2668.3333333333335</v>
      </c>
      <c r="E53" s="15">
        <f t="shared" si="1"/>
        <v>2412</v>
      </c>
      <c r="F53" s="18"/>
    </row>
    <row r="54" spans="1:6" ht="16" x14ac:dyDescent="0.2">
      <c r="A54" s="17">
        <v>45099</v>
      </c>
      <c r="B54" s="13" t="s">
        <v>8</v>
      </c>
      <c r="C54" s="14">
        <v>2338</v>
      </c>
      <c r="D54" s="15">
        <f t="shared" si="0"/>
        <v>2769.3333333333335</v>
      </c>
      <c r="E54" s="15">
        <f t="shared" si="1"/>
        <v>2441.5714285714284</v>
      </c>
      <c r="F54" s="18"/>
    </row>
    <row r="55" spans="1:6" ht="16" x14ac:dyDescent="0.2">
      <c r="A55" s="17">
        <v>45100</v>
      </c>
      <c r="B55" s="13" t="s">
        <v>9</v>
      </c>
      <c r="C55" s="14">
        <v>2950</v>
      </c>
      <c r="D55" s="15">
        <f t="shared" si="0"/>
        <v>2296.3333333333335</v>
      </c>
      <c r="E55" s="13"/>
      <c r="F55" s="18"/>
    </row>
    <row r="56" spans="1:6" ht="16" x14ac:dyDescent="0.2">
      <c r="A56" s="17">
        <v>45101</v>
      </c>
      <c r="B56" s="13" t="s">
        <v>10</v>
      </c>
      <c r="C56" s="14">
        <v>1601</v>
      </c>
      <c r="D56" s="15">
        <f t="shared" si="0"/>
        <v>2055.3333333333335</v>
      </c>
      <c r="E56" s="13"/>
      <c r="F56" s="18"/>
    </row>
    <row r="57" spans="1:6" ht="17" thickBot="1" x14ac:dyDescent="0.25">
      <c r="A57" s="20">
        <v>45102</v>
      </c>
      <c r="B57" s="21" t="s">
        <v>11</v>
      </c>
      <c r="C57" s="22">
        <v>1615</v>
      </c>
      <c r="D57" s="23"/>
      <c r="E57" s="21"/>
      <c r="F57" s="24"/>
    </row>
  </sheetData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4977-4894-B342-8C09-82FB84C06845}">
  <sheetPr>
    <tabColor theme="4" tint="0.59999389629810485"/>
  </sheetPr>
  <dimension ref="A1:M57"/>
  <sheetViews>
    <sheetView zoomScale="75" workbookViewId="0">
      <selection activeCell="F5" sqref="F5"/>
    </sheetView>
  </sheetViews>
  <sheetFormatPr baseColWidth="10" defaultRowHeight="15" x14ac:dyDescent="0.2"/>
  <cols>
    <col min="1" max="2" width="10.83203125" style="4"/>
    <col min="3" max="3" width="10.83203125" style="5"/>
    <col min="4" max="4" width="10.83203125" style="4"/>
    <col min="5" max="5" width="10.83203125" style="5"/>
    <col min="6" max="6" width="15.83203125" style="4" customWidth="1"/>
    <col min="7" max="16384" width="10.83203125" style="4"/>
  </cols>
  <sheetData>
    <row r="1" spans="1:13" ht="46" customHeight="1" thickBot="1" x14ac:dyDescent="0.25">
      <c r="A1" s="9" t="s">
        <v>14</v>
      </c>
      <c r="B1" s="37" t="s">
        <v>1</v>
      </c>
      <c r="C1" s="10" t="s">
        <v>4</v>
      </c>
      <c r="D1" s="37" t="s">
        <v>2</v>
      </c>
      <c r="E1" s="37" t="s">
        <v>12</v>
      </c>
      <c r="F1" s="11" t="s">
        <v>15</v>
      </c>
    </row>
    <row r="2" spans="1:13" ht="16" x14ac:dyDescent="0.2">
      <c r="A2" s="30">
        <v>1</v>
      </c>
      <c r="B2" s="26">
        <v>45047</v>
      </c>
      <c r="C2" s="13" t="s">
        <v>5</v>
      </c>
      <c r="D2" s="27">
        <v>1576</v>
      </c>
      <c r="E2" s="28"/>
      <c r="F2" s="18"/>
    </row>
    <row r="3" spans="1:13" ht="16" x14ac:dyDescent="0.2">
      <c r="A3" s="30">
        <v>2</v>
      </c>
      <c r="B3" s="26">
        <v>45048</v>
      </c>
      <c r="C3" s="13" t="s">
        <v>6</v>
      </c>
      <c r="D3" s="27">
        <v>2299</v>
      </c>
      <c r="E3" s="28"/>
      <c r="F3" s="18"/>
    </row>
    <row r="4" spans="1:13" ht="16" x14ac:dyDescent="0.2">
      <c r="A4" s="30">
        <v>3</v>
      </c>
      <c r="B4" s="26">
        <v>45049</v>
      </c>
      <c r="C4" s="13" t="s">
        <v>7</v>
      </c>
      <c r="D4" s="27">
        <v>1878</v>
      </c>
      <c r="E4" s="28"/>
      <c r="F4" s="18"/>
    </row>
    <row r="5" spans="1:13" ht="16" x14ac:dyDescent="0.2">
      <c r="A5" s="30">
        <v>4</v>
      </c>
      <c r="B5" s="26">
        <v>45050</v>
      </c>
      <c r="C5" s="13" t="s">
        <v>8</v>
      </c>
      <c r="D5" s="27">
        <v>1628</v>
      </c>
      <c r="E5" s="29">
        <f>AVERAGE(D2:D8)</f>
        <v>1577.1428571428571</v>
      </c>
      <c r="F5" s="31">
        <f>D5-E5</f>
        <v>50.85714285714289</v>
      </c>
    </row>
    <row r="6" spans="1:13" ht="16" x14ac:dyDescent="0.2">
      <c r="A6" s="30">
        <v>5</v>
      </c>
      <c r="B6" s="26">
        <v>45051</v>
      </c>
      <c r="C6" s="13" t="s">
        <v>9</v>
      </c>
      <c r="D6" s="27">
        <v>1555</v>
      </c>
      <c r="E6" s="29">
        <f t="shared" ref="E6:E54" si="0">AVERAGE(D3:D9)</f>
        <v>1620.8571428571429</v>
      </c>
      <c r="F6" s="31">
        <f t="shared" ref="F6:F54" si="1">D6-E6</f>
        <v>-65.85714285714289</v>
      </c>
    </row>
    <row r="7" spans="1:13" ht="16" x14ac:dyDescent="0.2">
      <c r="A7" s="30">
        <v>6</v>
      </c>
      <c r="B7" s="26">
        <v>45052</v>
      </c>
      <c r="C7" s="13" t="s">
        <v>10</v>
      </c>
      <c r="D7" s="27">
        <v>1240</v>
      </c>
      <c r="E7" s="29">
        <f t="shared" si="0"/>
        <v>1621.8571428571429</v>
      </c>
      <c r="F7" s="31">
        <f t="shared" si="1"/>
        <v>-381.85714285714289</v>
      </c>
      <c r="M7" s="6"/>
    </row>
    <row r="8" spans="1:13" ht="16" x14ac:dyDescent="0.2">
      <c r="A8" s="30">
        <v>7</v>
      </c>
      <c r="B8" s="26">
        <v>45053</v>
      </c>
      <c r="C8" s="13" t="s">
        <v>11</v>
      </c>
      <c r="D8" s="27">
        <v>864</v>
      </c>
      <c r="E8" s="29">
        <f t="shared" si="0"/>
        <v>1637.5714285714287</v>
      </c>
      <c r="F8" s="31">
        <f t="shared" si="1"/>
        <v>-773.57142857142867</v>
      </c>
    </row>
    <row r="9" spans="1:13" ht="16" x14ac:dyDescent="0.2">
      <c r="A9" s="30">
        <v>8</v>
      </c>
      <c r="B9" s="26">
        <v>45054</v>
      </c>
      <c r="C9" s="13" t="s">
        <v>5</v>
      </c>
      <c r="D9" s="27">
        <v>1882</v>
      </c>
      <c r="E9" s="29">
        <f t="shared" si="0"/>
        <v>1674.4285714285713</v>
      </c>
      <c r="F9" s="31">
        <f t="shared" si="1"/>
        <v>207.57142857142867</v>
      </c>
    </row>
    <row r="10" spans="1:13" ht="16" x14ac:dyDescent="0.2">
      <c r="A10" s="30">
        <v>9</v>
      </c>
      <c r="B10" s="26">
        <v>45055</v>
      </c>
      <c r="C10" s="13" t="s">
        <v>6</v>
      </c>
      <c r="D10" s="27">
        <v>2306</v>
      </c>
      <c r="E10" s="29">
        <f t="shared" si="0"/>
        <v>1647.2857142857142</v>
      </c>
      <c r="F10" s="31">
        <f t="shared" si="1"/>
        <v>658.71428571428578</v>
      </c>
    </row>
    <row r="11" spans="1:13" ht="16" x14ac:dyDescent="0.2">
      <c r="A11" s="30">
        <v>10</v>
      </c>
      <c r="B11" s="26">
        <v>45056</v>
      </c>
      <c r="C11" s="13" t="s">
        <v>7</v>
      </c>
      <c r="D11" s="27">
        <v>1988</v>
      </c>
      <c r="E11" s="29">
        <f t="shared" si="0"/>
        <v>1612.7142857142858</v>
      </c>
      <c r="F11" s="31">
        <f t="shared" si="1"/>
        <v>375.28571428571422</v>
      </c>
    </row>
    <row r="12" spans="1:13" ht="16" x14ac:dyDescent="0.2">
      <c r="A12" s="30">
        <v>11</v>
      </c>
      <c r="B12" s="26">
        <v>45057</v>
      </c>
      <c r="C12" s="13" t="s">
        <v>8</v>
      </c>
      <c r="D12" s="27">
        <v>1886</v>
      </c>
      <c r="E12" s="29">
        <f t="shared" si="0"/>
        <v>1639.5714285714287</v>
      </c>
      <c r="F12" s="31">
        <f t="shared" si="1"/>
        <v>246.42857142857133</v>
      </c>
    </row>
    <row r="13" spans="1:13" ht="16" x14ac:dyDescent="0.2">
      <c r="A13" s="30">
        <v>12</v>
      </c>
      <c r="B13" s="26">
        <v>45058</v>
      </c>
      <c r="C13" s="13" t="s">
        <v>9</v>
      </c>
      <c r="D13" s="27">
        <v>1365</v>
      </c>
      <c r="E13" s="29">
        <f t="shared" si="0"/>
        <v>1642.8571428571429</v>
      </c>
      <c r="F13" s="31">
        <f t="shared" si="1"/>
        <v>-277.85714285714289</v>
      </c>
    </row>
    <row r="14" spans="1:13" ht="16" x14ac:dyDescent="0.2">
      <c r="A14" s="30">
        <v>13</v>
      </c>
      <c r="B14" s="26">
        <v>45059</v>
      </c>
      <c r="C14" s="13" t="s">
        <v>10</v>
      </c>
      <c r="D14" s="27">
        <v>998</v>
      </c>
      <c r="E14" s="29">
        <f t="shared" si="0"/>
        <v>1565.8571428571429</v>
      </c>
      <c r="F14" s="31">
        <f t="shared" si="1"/>
        <v>-567.85714285714289</v>
      </c>
    </row>
    <row r="15" spans="1:13" ht="16" x14ac:dyDescent="0.2">
      <c r="A15" s="30">
        <v>14</v>
      </c>
      <c r="B15" s="26">
        <v>45060</v>
      </c>
      <c r="C15" s="13" t="s">
        <v>11</v>
      </c>
      <c r="D15" s="27">
        <v>1052</v>
      </c>
      <c r="E15" s="29">
        <f t="shared" si="0"/>
        <v>1554.8571428571429</v>
      </c>
      <c r="F15" s="31">
        <f t="shared" si="1"/>
        <v>-502.85714285714289</v>
      </c>
    </row>
    <row r="16" spans="1:13" ht="16" x14ac:dyDescent="0.2">
      <c r="A16" s="30">
        <v>15</v>
      </c>
      <c r="B16" s="26">
        <v>45061</v>
      </c>
      <c r="C16" s="13" t="s">
        <v>5</v>
      </c>
      <c r="D16" s="27">
        <v>1905</v>
      </c>
      <c r="E16" s="29">
        <f t="shared" si="0"/>
        <v>1576.2857142857142</v>
      </c>
      <c r="F16" s="31">
        <f t="shared" si="1"/>
        <v>328.71428571428578</v>
      </c>
    </row>
    <row r="17" spans="1:6" ht="16" x14ac:dyDescent="0.2">
      <c r="A17" s="30">
        <v>16</v>
      </c>
      <c r="B17" s="26">
        <v>45062</v>
      </c>
      <c r="C17" s="13" t="s">
        <v>6</v>
      </c>
      <c r="D17" s="27">
        <v>1767</v>
      </c>
      <c r="E17" s="29">
        <f t="shared" si="0"/>
        <v>1585.2857142857142</v>
      </c>
      <c r="F17" s="31">
        <f t="shared" si="1"/>
        <v>181.71428571428578</v>
      </c>
    </row>
    <row r="18" spans="1:6" ht="16" x14ac:dyDescent="0.2">
      <c r="A18" s="30">
        <v>17</v>
      </c>
      <c r="B18" s="26">
        <v>45063</v>
      </c>
      <c r="C18" s="13" t="s">
        <v>7</v>
      </c>
      <c r="D18" s="27">
        <v>1911</v>
      </c>
      <c r="E18" s="29">
        <f t="shared" si="0"/>
        <v>1586.7142857142858</v>
      </c>
      <c r="F18" s="31">
        <f t="shared" si="1"/>
        <v>324.28571428571422</v>
      </c>
    </row>
    <row r="19" spans="1:6" ht="16" x14ac:dyDescent="0.2">
      <c r="A19" s="30">
        <v>18</v>
      </c>
      <c r="B19" s="26">
        <v>45064</v>
      </c>
      <c r="C19" s="13" t="s">
        <v>8</v>
      </c>
      <c r="D19" s="27">
        <v>2036</v>
      </c>
      <c r="E19" s="29">
        <f t="shared" si="0"/>
        <v>1591</v>
      </c>
      <c r="F19" s="31">
        <f t="shared" si="1"/>
        <v>445</v>
      </c>
    </row>
    <row r="20" spans="1:6" ht="16" x14ac:dyDescent="0.2">
      <c r="A20" s="30">
        <v>19</v>
      </c>
      <c r="B20" s="26">
        <v>45065</v>
      </c>
      <c r="C20" s="13" t="s">
        <v>9</v>
      </c>
      <c r="D20" s="27">
        <v>1428</v>
      </c>
      <c r="E20" s="29">
        <f t="shared" si="0"/>
        <v>1593.2857142857142</v>
      </c>
      <c r="F20" s="31">
        <f t="shared" si="1"/>
        <v>-165.28571428571422</v>
      </c>
    </row>
    <row r="21" spans="1:6" ht="16" x14ac:dyDescent="0.2">
      <c r="A21" s="30">
        <v>20</v>
      </c>
      <c r="B21" s="26">
        <v>45066</v>
      </c>
      <c r="C21" s="13" t="s">
        <v>10</v>
      </c>
      <c r="D21" s="27">
        <v>1008</v>
      </c>
      <c r="E21" s="29">
        <f t="shared" si="0"/>
        <v>1595.1428571428571</v>
      </c>
      <c r="F21" s="31">
        <f t="shared" si="1"/>
        <v>-587.14285714285711</v>
      </c>
    </row>
    <row r="22" spans="1:6" ht="16" x14ac:dyDescent="0.2">
      <c r="A22" s="30">
        <v>21</v>
      </c>
      <c r="B22" s="26">
        <v>45067</v>
      </c>
      <c r="C22" s="13" t="s">
        <v>11</v>
      </c>
      <c r="D22" s="27">
        <v>1082</v>
      </c>
      <c r="E22" s="29">
        <f t="shared" si="0"/>
        <v>1618</v>
      </c>
      <c r="F22" s="31">
        <f t="shared" si="1"/>
        <v>-536</v>
      </c>
    </row>
    <row r="23" spans="1:6" ht="16" x14ac:dyDescent="0.2">
      <c r="A23" s="30">
        <v>22</v>
      </c>
      <c r="B23" s="26">
        <v>45068</v>
      </c>
      <c r="C23" s="13" t="s">
        <v>5</v>
      </c>
      <c r="D23" s="27">
        <v>1921</v>
      </c>
      <c r="E23" s="29">
        <f t="shared" si="0"/>
        <v>1586.1428571428571</v>
      </c>
      <c r="F23" s="31">
        <f t="shared" si="1"/>
        <v>334.85714285714289</v>
      </c>
    </row>
    <row r="24" spans="1:6" ht="16" x14ac:dyDescent="0.2">
      <c r="A24" s="30">
        <v>23</v>
      </c>
      <c r="B24" s="26">
        <v>45069</v>
      </c>
      <c r="C24" s="13" t="s">
        <v>6</v>
      </c>
      <c r="D24" s="27">
        <v>1780</v>
      </c>
      <c r="E24" s="29">
        <f t="shared" si="0"/>
        <v>1636.4285714285713</v>
      </c>
      <c r="F24" s="31">
        <f t="shared" si="1"/>
        <v>143.57142857142867</v>
      </c>
    </row>
    <row r="25" spans="1:6" ht="16" x14ac:dyDescent="0.2">
      <c r="A25" s="30">
        <v>24</v>
      </c>
      <c r="B25" s="26">
        <v>45070</v>
      </c>
      <c r="C25" s="13" t="s">
        <v>7</v>
      </c>
      <c r="D25" s="27">
        <v>2071</v>
      </c>
      <c r="E25" s="29">
        <f t="shared" si="0"/>
        <v>1669</v>
      </c>
      <c r="F25" s="31">
        <f t="shared" si="1"/>
        <v>402</v>
      </c>
    </row>
    <row r="26" spans="1:6" ht="16" x14ac:dyDescent="0.2">
      <c r="A26" s="30">
        <v>25</v>
      </c>
      <c r="B26" s="26">
        <v>45071</v>
      </c>
      <c r="C26" s="13" t="s">
        <v>8</v>
      </c>
      <c r="D26" s="27">
        <v>1813</v>
      </c>
      <c r="E26" s="29">
        <f t="shared" si="0"/>
        <v>1669</v>
      </c>
      <c r="F26" s="31">
        <f t="shared" si="1"/>
        <v>144</v>
      </c>
    </row>
    <row r="27" spans="1:6" ht="16" x14ac:dyDescent="0.2">
      <c r="A27" s="30">
        <v>26</v>
      </c>
      <c r="B27" s="26">
        <v>45072</v>
      </c>
      <c r="C27" s="13" t="s">
        <v>9</v>
      </c>
      <c r="D27" s="27">
        <v>1780</v>
      </c>
      <c r="E27" s="29">
        <f t="shared" si="0"/>
        <v>1648.4285714285713</v>
      </c>
      <c r="F27" s="31">
        <f t="shared" si="1"/>
        <v>131.57142857142867</v>
      </c>
    </row>
    <row r="28" spans="1:6" ht="16" x14ac:dyDescent="0.2">
      <c r="A28" s="30">
        <v>27</v>
      </c>
      <c r="B28" s="26">
        <v>45073</v>
      </c>
      <c r="C28" s="13" t="s">
        <v>10</v>
      </c>
      <c r="D28" s="27">
        <v>1236</v>
      </c>
      <c r="E28" s="29">
        <f t="shared" si="0"/>
        <v>1646.4285714285713</v>
      </c>
      <c r="F28" s="31">
        <f t="shared" si="1"/>
        <v>-410.42857142857133</v>
      </c>
    </row>
    <row r="29" spans="1:6" ht="16" x14ac:dyDescent="0.2">
      <c r="A29" s="30">
        <v>28</v>
      </c>
      <c r="B29" s="26">
        <v>45074</v>
      </c>
      <c r="C29" s="13" t="s">
        <v>11</v>
      </c>
      <c r="D29" s="27">
        <v>1082</v>
      </c>
      <c r="E29" s="29">
        <f t="shared" si="0"/>
        <v>1619.7142857142858</v>
      </c>
      <c r="F29" s="31">
        <f t="shared" si="1"/>
        <v>-537.71428571428578</v>
      </c>
    </row>
    <row r="30" spans="1:6" ht="16" x14ac:dyDescent="0.2">
      <c r="A30" s="30">
        <v>29</v>
      </c>
      <c r="B30" s="26">
        <v>45075</v>
      </c>
      <c r="C30" s="13" t="s">
        <v>5</v>
      </c>
      <c r="D30" s="27">
        <v>1777</v>
      </c>
      <c r="E30" s="29">
        <f t="shared" si="0"/>
        <v>1615</v>
      </c>
      <c r="F30" s="31">
        <f t="shared" si="1"/>
        <v>162</v>
      </c>
    </row>
    <row r="31" spans="1:6" ht="16" x14ac:dyDescent="0.2">
      <c r="A31" s="30">
        <v>30</v>
      </c>
      <c r="B31" s="26">
        <v>45076</v>
      </c>
      <c r="C31" s="13" t="s">
        <v>6</v>
      </c>
      <c r="D31" s="27">
        <v>1766</v>
      </c>
      <c r="E31" s="29">
        <f t="shared" si="0"/>
        <v>1585.2857142857142</v>
      </c>
      <c r="F31" s="31">
        <f t="shared" si="1"/>
        <v>180.71428571428578</v>
      </c>
    </row>
    <row r="32" spans="1:6" ht="16" x14ac:dyDescent="0.2">
      <c r="A32" s="30">
        <v>31</v>
      </c>
      <c r="B32" s="26">
        <v>45077</v>
      </c>
      <c r="C32" s="13" t="s">
        <v>7</v>
      </c>
      <c r="D32" s="27">
        <v>1884</v>
      </c>
      <c r="E32" s="29">
        <f t="shared" si="0"/>
        <v>1544.1428571428571</v>
      </c>
      <c r="F32" s="31">
        <f t="shared" si="1"/>
        <v>339.85714285714289</v>
      </c>
    </row>
    <row r="33" spans="1:6" ht="16" x14ac:dyDescent="0.2">
      <c r="A33" s="30">
        <v>32</v>
      </c>
      <c r="B33" s="26">
        <v>45078</v>
      </c>
      <c r="C33" s="13" t="s">
        <v>8</v>
      </c>
      <c r="D33" s="27">
        <v>1780</v>
      </c>
      <c r="E33" s="29">
        <f t="shared" si="0"/>
        <v>1544.5714285714287</v>
      </c>
      <c r="F33" s="31">
        <f t="shared" si="1"/>
        <v>235.42857142857133</v>
      </c>
    </row>
    <row r="34" spans="1:6" ht="16" x14ac:dyDescent="0.2">
      <c r="A34" s="30">
        <v>33</v>
      </c>
      <c r="B34" s="26">
        <v>45079</v>
      </c>
      <c r="C34" s="13" t="s">
        <v>9</v>
      </c>
      <c r="D34" s="27">
        <v>1572</v>
      </c>
      <c r="E34" s="29">
        <f t="shared" si="0"/>
        <v>1707.4285714285713</v>
      </c>
      <c r="F34" s="31">
        <f t="shared" si="1"/>
        <v>-135.42857142857133</v>
      </c>
    </row>
    <row r="35" spans="1:6" ht="16" x14ac:dyDescent="0.2">
      <c r="A35" s="30">
        <v>34</v>
      </c>
      <c r="B35" s="26">
        <v>45080</v>
      </c>
      <c r="C35" s="13" t="s">
        <v>10</v>
      </c>
      <c r="D35" s="27">
        <v>948</v>
      </c>
      <c r="E35" s="29">
        <f t="shared" si="0"/>
        <v>1855.2857142857142</v>
      </c>
      <c r="F35" s="31">
        <f t="shared" si="1"/>
        <v>-907.28571428571422</v>
      </c>
    </row>
    <row r="36" spans="1:6" ht="16" x14ac:dyDescent="0.2">
      <c r="A36" s="30">
        <v>35</v>
      </c>
      <c r="B36" s="26">
        <v>45081</v>
      </c>
      <c r="C36" s="13" t="s">
        <v>11</v>
      </c>
      <c r="D36" s="27">
        <v>1085</v>
      </c>
      <c r="E36" s="29">
        <f t="shared" si="0"/>
        <v>2025.4285714285713</v>
      </c>
      <c r="F36" s="31">
        <f t="shared" si="1"/>
        <v>-940.42857142857133</v>
      </c>
    </row>
    <row r="37" spans="1:6" ht="16" x14ac:dyDescent="0.2">
      <c r="A37" s="30">
        <v>36</v>
      </c>
      <c r="B37" s="26">
        <v>45082</v>
      </c>
      <c r="C37" s="13" t="s">
        <v>5</v>
      </c>
      <c r="D37" s="27">
        <v>2917</v>
      </c>
      <c r="E37" s="29">
        <f t="shared" si="0"/>
        <v>2162.1428571428573</v>
      </c>
      <c r="F37" s="31">
        <f t="shared" si="1"/>
        <v>754.85714285714266</v>
      </c>
    </row>
    <row r="38" spans="1:6" ht="16" x14ac:dyDescent="0.2">
      <c r="A38" s="30">
        <v>37</v>
      </c>
      <c r="B38" s="26">
        <v>45083</v>
      </c>
      <c r="C38" s="13" t="s">
        <v>6</v>
      </c>
      <c r="D38" s="27">
        <v>2801</v>
      </c>
      <c r="E38" s="29">
        <f t="shared" si="0"/>
        <v>2270.2857142857142</v>
      </c>
      <c r="F38" s="31">
        <f t="shared" si="1"/>
        <v>530.71428571428578</v>
      </c>
    </row>
    <row r="39" spans="1:6" ht="16" x14ac:dyDescent="0.2">
      <c r="A39" s="30">
        <v>38</v>
      </c>
      <c r="B39" s="26">
        <v>45084</v>
      </c>
      <c r="C39" s="13" t="s">
        <v>7</v>
      </c>
      <c r="D39" s="27">
        <v>3075</v>
      </c>
      <c r="E39" s="29">
        <f t="shared" si="0"/>
        <v>2354.8571428571427</v>
      </c>
      <c r="F39" s="31">
        <f t="shared" si="1"/>
        <v>720.14285714285734</v>
      </c>
    </row>
    <row r="40" spans="1:6" ht="16" x14ac:dyDescent="0.2">
      <c r="A40" s="30">
        <v>39</v>
      </c>
      <c r="B40" s="26">
        <v>45085</v>
      </c>
      <c r="C40" s="13" t="s">
        <v>8</v>
      </c>
      <c r="D40" s="27">
        <v>2737</v>
      </c>
      <c r="E40" s="29">
        <f t="shared" si="0"/>
        <v>2455.1428571428573</v>
      </c>
      <c r="F40" s="31">
        <f t="shared" si="1"/>
        <v>281.85714285714266</v>
      </c>
    </row>
    <row r="41" spans="1:6" ht="16" x14ac:dyDescent="0.2">
      <c r="A41" s="30">
        <v>40</v>
      </c>
      <c r="B41" s="26">
        <v>45086</v>
      </c>
      <c r="C41" s="13" t="s">
        <v>9</v>
      </c>
      <c r="D41" s="27">
        <v>2329</v>
      </c>
      <c r="E41" s="29">
        <f t="shared" si="0"/>
        <v>2481.5714285714284</v>
      </c>
      <c r="F41" s="31">
        <f t="shared" si="1"/>
        <v>-152.57142857142844</v>
      </c>
    </row>
    <row r="42" spans="1:6" ht="16" x14ac:dyDescent="0.2">
      <c r="A42" s="30">
        <v>41</v>
      </c>
      <c r="B42" s="26">
        <v>45087</v>
      </c>
      <c r="C42" s="13" t="s">
        <v>10</v>
      </c>
      <c r="D42" s="27">
        <v>1540</v>
      </c>
      <c r="E42" s="29">
        <f t="shared" si="0"/>
        <v>2424.7142857142858</v>
      </c>
      <c r="F42" s="31">
        <f t="shared" si="1"/>
        <v>-884.71428571428578</v>
      </c>
    </row>
    <row r="43" spans="1:6" ht="16" x14ac:dyDescent="0.2">
      <c r="A43" s="30">
        <v>42</v>
      </c>
      <c r="B43" s="26">
        <v>45088</v>
      </c>
      <c r="C43" s="13" t="s">
        <v>11</v>
      </c>
      <c r="D43" s="27">
        <v>1787</v>
      </c>
      <c r="E43" s="29">
        <f t="shared" si="0"/>
        <v>2403.5714285714284</v>
      </c>
      <c r="F43" s="31">
        <f t="shared" si="1"/>
        <v>-616.57142857142844</v>
      </c>
    </row>
    <row r="44" spans="1:6" ht="16" x14ac:dyDescent="0.2">
      <c r="A44" s="30">
        <v>43</v>
      </c>
      <c r="B44" s="26">
        <v>45089</v>
      </c>
      <c r="C44" s="13" t="s">
        <v>5</v>
      </c>
      <c r="D44" s="27">
        <v>3102</v>
      </c>
      <c r="E44" s="29">
        <f t="shared" si="0"/>
        <v>2471.5714285714284</v>
      </c>
      <c r="F44" s="31">
        <f t="shared" si="1"/>
        <v>630.42857142857156</v>
      </c>
    </row>
    <row r="45" spans="1:6" ht="16" x14ac:dyDescent="0.2">
      <c r="A45" s="30">
        <v>44</v>
      </c>
      <c r="B45" s="26">
        <v>45090</v>
      </c>
      <c r="C45" s="13" t="s">
        <v>6</v>
      </c>
      <c r="D45" s="27">
        <v>2403</v>
      </c>
      <c r="E45" s="29">
        <f t="shared" si="0"/>
        <v>2452.2857142857142</v>
      </c>
      <c r="F45" s="31">
        <f t="shared" si="1"/>
        <v>-49.285714285714221</v>
      </c>
    </row>
    <row r="46" spans="1:6" ht="16" x14ac:dyDescent="0.2">
      <c r="A46" s="30">
        <v>45</v>
      </c>
      <c r="B46" s="26">
        <v>45091</v>
      </c>
      <c r="C46" s="13" t="s">
        <v>7</v>
      </c>
      <c r="D46" s="27">
        <v>2927</v>
      </c>
      <c r="E46" s="29">
        <f t="shared" si="0"/>
        <v>2486.5714285714284</v>
      </c>
      <c r="F46" s="31">
        <f t="shared" si="1"/>
        <v>440.42857142857156</v>
      </c>
    </row>
    <row r="47" spans="1:6" ht="16" x14ac:dyDescent="0.2">
      <c r="A47" s="30">
        <v>46</v>
      </c>
      <c r="B47" s="26">
        <v>45092</v>
      </c>
      <c r="C47" s="13" t="s">
        <v>8</v>
      </c>
      <c r="D47" s="27">
        <v>3213</v>
      </c>
      <c r="E47" s="29">
        <f t="shared" si="0"/>
        <v>2432.4285714285716</v>
      </c>
      <c r="F47" s="31">
        <f t="shared" si="1"/>
        <v>780.57142857142844</v>
      </c>
    </row>
    <row r="48" spans="1:6" ht="16" x14ac:dyDescent="0.2">
      <c r="A48" s="30">
        <v>47</v>
      </c>
      <c r="B48" s="26">
        <v>45093</v>
      </c>
      <c r="C48" s="13" t="s">
        <v>9</v>
      </c>
      <c r="D48" s="27">
        <v>2194</v>
      </c>
      <c r="E48" s="29">
        <f t="shared" si="0"/>
        <v>2406.4285714285716</v>
      </c>
      <c r="F48" s="31">
        <f t="shared" si="1"/>
        <v>-212.42857142857156</v>
      </c>
    </row>
    <row r="49" spans="1:6" ht="16" x14ac:dyDescent="0.2">
      <c r="A49" s="30">
        <v>48</v>
      </c>
      <c r="B49" s="26">
        <v>45094</v>
      </c>
      <c r="C49" s="13" t="s">
        <v>10</v>
      </c>
      <c r="D49" s="27">
        <v>1780</v>
      </c>
      <c r="E49" s="29">
        <f t="shared" si="0"/>
        <v>2441.2857142857142</v>
      </c>
      <c r="F49" s="31">
        <f t="shared" si="1"/>
        <v>-661.28571428571422</v>
      </c>
    </row>
    <row r="50" spans="1:6" ht="16" x14ac:dyDescent="0.2">
      <c r="A50" s="30">
        <v>49</v>
      </c>
      <c r="B50" s="26">
        <v>45095</v>
      </c>
      <c r="C50" s="13" t="s">
        <v>11</v>
      </c>
      <c r="D50" s="27">
        <v>1408</v>
      </c>
      <c r="E50" s="29">
        <f t="shared" si="0"/>
        <v>2454.5714285714284</v>
      </c>
      <c r="F50" s="31">
        <f t="shared" si="1"/>
        <v>-1046.5714285714284</v>
      </c>
    </row>
    <row r="51" spans="1:6" ht="16" x14ac:dyDescent="0.2">
      <c r="A51" s="30">
        <v>50</v>
      </c>
      <c r="B51" s="26">
        <v>45096</v>
      </c>
      <c r="C51" s="13" t="s">
        <v>5</v>
      </c>
      <c r="D51" s="27">
        <v>2920</v>
      </c>
      <c r="E51" s="29">
        <f t="shared" si="0"/>
        <v>2329.5714285714284</v>
      </c>
      <c r="F51" s="31">
        <f t="shared" si="1"/>
        <v>590.42857142857156</v>
      </c>
    </row>
    <row r="52" spans="1:6" ht="16" x14ac:dyDescent="0.2">
      <c r="A52" s="30">
        <v>51</v>
      </c>
      <c r="B52" s="26">
        <v>45097</v>
      </c>
      <c r="C52" s="13" t="s">
        <v>6</v>
      </c>
      <c r="D52" s="27">
        <v>2647</v>
      </c>
      <c r="E52" s="29">
        <f t="shared" si="0"/>
        <v>2437.5714285714284</v>
      </c>
      <c r="F52" s="31">
        <f t="shared" si="1"/>
        <v>209.42857142857156</v>
      </c>
    </row>
    <row r="53" spans="1:6" ht="16" x14ac:dyDescent="0.2">
      <c r="A53" s="30">
        <v>52</v>
      </c>
      <c r="B53" s="26">
        <v>45098</v>
      </c>
      <c r="C53" s="13" t="s">
        <v>7</v>
      </c>
      <c r="D53" s="27">
        <v>3020</v>
      </c>
      <c r="E53" s="29">
        <f t="shared" si="0"/>
        <v>2412</v>
      </c>
      <c r="F53" s="31">
        <f t="shared" si="1"/>
        <v>608</v>
      </c>
    </row>
    <row r="54" spans="1:6" ht="16" x14ac:dyDescent="0.2">
      <c r="A54" s="30">
        <v>53</v>
      </c>
      <c r="B54" s="26">
        <v>45099</v>
      </c>
      <c r="C54" s="13" t="s">
        <v>8</v>
      </c>
      <c r="D54" s="27">
        <v>2338</v>
      </c>
      <c r="E54" s="29">
        <f t="shared" si="0"/>
        <v>2441.5714285714284</v>
      </c>
      <c r="F54" s="31">
        <f t="shared" si="1"/>
        <v>-103.57142857142844</v>
      </c>
    </row>
    <row r="55" spans="1:6" ht="16" x14ac:dyDescent="0.2">
      <c r="A55" s="30">
        <v>54</v>
      </c>
      <c r="B55" s="26">
        <v>45100</v>
      </c>
      <c r="C55" s="13" t="s">
        <v>9</v>
      </c>
      <c r="D55" s="27">
        <v>2950</v>
      </c>
      <c r="E55" s="29"/>
      <c r="F55" s="31"/>
    </row>
    <row r="56" spans="1:6" ht="16" x14ac:dyDescent="0.2">
      <c r="A56" s="30">
        <v>55</v>
      </c>
      <c r="B56" s="26">
        <v>45101</v>
      </c>
      <c r="C56" s="13" t="s">
        <v>10</v>
      </c>
      <c r="D56" s="27">
        <v>1601</v>
      </c>
      <c r="E56" s="29"/>
      <c r="F56" s="31"/>
    </row>
    <row r="57" spans="1:6" ht="17" thickBot="1" x14ac:dyDescent="0.25">
      <c r="A57" s="32">
        <v>56</v>
      </c>
      <c r="B57" s="33">
        <v>45102</v>
      </c>
      <c r="C57" s="21" t="s">
        <v>11</v>
      </c>
      <c r="D57" s="34">
        <v>1615</v>
      </c>
      <c r="E57" s="35"/>
      <c r="F57" s="3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F500-4A27-024F-B700-46C8A5C3B98F}">
  <sheetPr>
    <tabColor theme="4" tint="0.59999389629810485"/>
  </sheetPr>
  <dimension ref="A1:Q57"/>
  <sheetViews>
    <sheetView workbookViewId="0">
      <selection activeCell="T18" sqref="T18"/>
    </sheetView>
  </sheetViews>
  <sheetFormatPr baseColWidth="10" defaultRowHeight="15" x14ac:dyDescent="0.2"/>
  <cols>
    <col min="1" max="4" width="10.83203125" style="4"/>
    <col min="5" max="5" width="14.33203125" style="4" customWidth="1"/>
    <col min="6" max="7" width="10.83203125" style="4"/>
    <col min="9" max="16384" width="10.83203125" style="4"/>
  </cols>
  <sheetData>
    <row r="1" spans="1:17" ht="47" customHeight="1" thickBot="1" x14ac:dyDescent="0.25">
      <c r="A1" s="9" t="s">
        <v>14</v>
      </c>
      <c r="B1" s="10" t="s">
        <v>1</v>
      </c>
      <c r="C1" s="10" t="s">
        <v>2</v>
      </c>
      <c r="D1" s="10" t="s">
        <v>12</v>
      </c>
      <c r="E1" s="10" t="s">
        <v>15</v>
      </c>
      <c r="F1" s="10" t="s">
        <v>16</v>
      </c>
      <c r="G1" s="11" t="s">
        <v>4</v>
      </c>
      <c r="H1" s="4"/>
    </row>
    <row r="2" spans="1:17" ht="17" thickBot="1" x14ac:dyDescent="0.25">
      <c r="A2" s="30">
        <v>1</v>
      </c>
      <c r="B2" s="12">
        <v>45047</v>
      </c>
      <c r="C2" s="14">
        <v>1576</v>
      </c>
      <c r="D2" s="13"/>
      <c r="E2" s="13"/>
      <c r="F2" s="13">
        <v>1</v>
      </c>
      <c r="G2" s="18" t="s">
        <v>5</v>
      </c>
      <c r="H2" s="4"/>
    </row>
    <row r="3" spans="1:17" ht="18" thickBot="1" x14ac:dyDescent="0.25">
      <c r="A3" s="30">
        <v>2</v>
      </c>
      <c r="B3" s="12">
        <v>45048</v>
      </c>
      <c r="C3" s="14">
        <v>2299</v>
      </c>
      <c r="D3" s="13"/>
      <c r="E3" s="13"/>
      <c r="F3" s="13">
        <v>1</v>
      </c>
      <c r="G3" s="18" t="s">
        <v>6</v>
      </c>
      <c r="H3" s="4"/>
      <c r="I3" s="46" t="s">
        <v>4</v>
      </c>
      <c r="J3" s="47" t="s">
        <v>17</v>
      </c>
      <c r="K3" s="38" t="s">
        <v>18</v>
      </c>
      <c r="L3" s="38" t="s">
        <v>19</v>
      </c>
      <c r="M3" s="38" t="s">
        <v>20</v>
      </c>
      <c r="N3" s="38" t="s">
        <v>21</v>
      </c>
      <c r="O3" s="38" t="s">
        <v>22</v>
      </c>
      <c r="P3" s="38" t="s">
        <v>23</v>
      </c>
      <c r="Q3" s="48" t="s">
        <v>24</v>
      </c>
    </row>
    <row r="4" spans="1:17" ht="17" x14ac:dyDescent="0.2">
      <c r="A4" s="30">
        <v>3</v>
      </c>
      <c r="B4" s="12">
        <v>45049</v>
      </c>
      <c r="C4" s="14">
        <v>1878</v>
      </c>
      <c r="D4" s="13"/>
      <c r="E4" s="13"/>
      <c r="F4" s="13">
        <v>1</v>
      </c>
      <c r="G4" s="18" t="s">
        <v>7</v>
      </c>
      <c r="H4" s="4"/>
      <c r="I4" s="43" t="s">
        <v>5</v>
      </c>
      <c r="J4" s="13"/>
      <c r="K4" s="25">
        <f>E9</f>
        <v>207.57142857142867</v>
      </c>
      <c r="L4" s="25">
        <f>E16</f>
        <v>328.71428571428578</v>
      </c>
      <c r="M4" s="25">
        <f>E23</f>
        <v>334.85714285714289</v>
      </c>
      <c r="N4" s="25">
        <f>E30</f>
        <v>162</v>
      </c>
      <c r="O4" s="25">
        <f>E37</f>
        <v>754.85714285714266</v>
      </c>
      <c r="P4" s="25">
        <f>E44</f>
        <v>630.42857142857156</v>
      </c>
      <c r="Q4" s="31">
        <f>E51</f>
        <v>590.42857142857156</v>
      </c>
    </row>
    <row r="5" spans="1:17" ht="17" x14ac:dyDescent="0.2">
      <c r="A5" s="30">
        <v>4</v>
      </c>
      <c r="B5" s="12">
        <v>45050</v>
      </c>
      <c r="C5" s="14">
        <v>1628</v>
      </c>
      <c r="D5" s="15">
        <f t="shared" ref="D5:D36" si="0">AVERAGE(C2:C8)</f>
        <v>1577.1428571428571</v>
      </c>
      <c r="E5" s="25">
        <f t="shared" ref="E5:E36" si="1">C5-D5</f>
        <v>50.85714285714289</v>
      </c>
      <c r="F5" s="13">
        <v>1</v>
      </c>
      <c r="G5" s="18" t="s">
        <v>8</v>
      </c>
      <c r="H5" s="4"/>
      <c r="I5" s="44" t="s">
        <v>6</v>
      </c>
      <c r="J5" s="13"/>
      <c r="K5" s="25">
        <f t="shared" ref="K5:K10" si="2">E10</f>
        <v>658.71428571428578</v>
      </c>
      <c r="L5" s="25">
        <f t="shared" ref="L5:L10" si="3">E17</f>
        <v>181.71428571428578</v>
      </c>
      <c r="M5" s="25">
        <f t="shared" ref="M5:M10" si="4">E24</f>
        <v>143.57142857142867</v>
      </c>
      <c r="N5" s="25">
        <f t="shared" ref="N5:N10" si="5">E31</f>
        <v>180.71428571428578</v>
      </c>
      <c r="O5" s="25">
        <f t="shared" ref="O5:O10" si="6">E38</f>
        <v>530.71428571428578</v>
      </c>
      <c r="P5" s="25">
        <f t="shared" ref="P5:P10" si="7">E45</f>
        <v>-49.285714285714221</v>
      </c>
      <c r="Q5" s="31">
        <f t="shared" ref="Q5:Q7" si="8">E52</f>
        <v>209.42857142857156</v>
      </c>
    </row>
    <row r="6" spans="1:17" ht="17" x14ac:dyDescent="0.2">
      <c r="A6" s="30">
        <v>5</v>
      </c>
      <c r="B6" s="12">
        <v>45051</v>
      </c>
      <c r="C6" s="14">
        <v>1555</v>
      </c>
      <c r="D6" s="15">
        <f t="shared" si="0"/>
        <v>1620.8571428571429</v>
      </c>
      <c r="E6" s="25">
        <f t="shared" si="1"/>
        <v>-65.85714285714289</v>
      </c>
      <c r="F6" s="13">
        <v>1</v>
      </c>
      <c r="G6" s="18" t="s">
        <v>9</v>
      </c>
      <c r="H6" s="4"/>
      <c r="I6" s="44" t="s">
        <v>7</v>
      </c>
      <c r="J6" s="13"/>
      <c r="K6" s="25">
        <f t="shared" si="2"/>
        <v>375.28571428571422</v>
      </c>
      <c r="L6" s="25">
        <f t="shared" si="3"/>
        <v>324.28571428571422</v>
      </c>
      <c r="M6" s="25">
        <f t="shared" si="4"/>
        <v>402</v>
      </c>
      <c r="N6" s="25">
        <f t="shared" si="5"/>
        <v>339.85714285714289</v>
      </c>
      <c r="O6" s="25">
        <f t="shared" si="6"/>
        <v>720.14285714285734</v>
      </c>
      <c r="P6" s="25">
        <f t="shared" si="7"/>
        <v>440.42857142857156</v>
      </c>
      <c r="Q6" s="31">
        <f t="shared" si="8"/>
        <v>608</v>
      </c>
    </row>
    <row r="7" spans="1:17" ht="17" x14ac:dyDescent="0.2">
      <c r="A7" s="30">
        <v>6</v>
      </c>
      <c r="B7" s="12">
        <v>45052</v>
      </c>
      <c r="C7" s="14">
        <v>1240</v>
      </c>
      <c r="D7" s="15">
        <f t="shared" si="0"/>
        <v>1621.8571428571429</v>
      </c>
      <c r="E7" s="25">
        <f t="shared" si="1"/>
        <v>-381.85714285714289</v>
      </c>
      <c r="F7" s="13">
        <v>1</v>
      </c>
      <c r="G7" s="18" t="s">
        <v>10</v>
      </c>
      <c r="H7" s="4"/>
      <c r="I7" s="44" t="s">
        <v>8</v>
      </c>
      <c r="J7" s="25">
        <f>E5</f>
        <v>50.85714285714289</v>
      </c>
      <c r="K7" s="25">
        <f t="shared" si="2"/>
        <v>246.42857142857133</v>
      </c>
      <c r="L7" s="25">
        <f t="shared" si="3"/>
        <v>445</v>
      </c>
      <c r="M7" s="25">
        <f t="shared" si="4"/>
        <v>144</v>
      </c>
      <c r="N7" s="25">
        <f t="shared" si="5"/>
        <v>235.42857142857133</v>
      </c>
      <c r="O7" s="25">
        <f t="shared" si="6"/>
        <v>281.85714285714266</v>
      </c>
      <c r="P7" s="25">
        <f t="shared" si="7"/>
        <v>780.57142857142844</v>
      </c>
      <c r="Q7" s="31">
        <f t="shared" si="8"/>
        <v>-103.57142857142844</v>
      </c>
    </row>
    <row r="8" spans="1:17" ht="17" x14ac:dyDescent="0.2">
      <c r="A8" s="30">
        <v>7</v>
      </c>
      <c r="B8" s="12">
        <v>45053</v>
      </c>
      <c r="C8" s="14">
        <v>864</v>
      </c>
      <c r="D8" s="15">
        <f t="shared" si="0"/>
        <v>1637.5714285714287</v>
      </c>
      <c r="E8" s="25">
        <f t="shared" si="1"/>
        <v>-773.57142857142867</v>
      </c>
      <c r="F8" s="13">
        <v>1</v>
      </c>
      <c r="G8" s="18" t="s">
        <v>11</v>
      </c>
      <c r="H8" s="4"/>
      <c r="I8" s="44" t="s">
        <v>9</v>
      </c>
      <c r="J8" s="25">
        <f t="shared" ref="J8:J10" si="9">E6</f>
        <v>-65.85714285714289</v>
      </c>
      <c r="K8" s="25">
        <f t="shared" si="2"/>
        <v>-277.85714285714289</v>
      </c>
      <c r="L8" s="25">
        <f t="shared" si="3"/>
        <v>-165.28571428571422</v>
      </c>
      <c r="M8" s="25">
        <f t="shared" si="4"/>
        <v>131.57142857142867</v>
      </c>
      <c r="N8" s="25">
        <f t="shared" si="5"/>
        <v>-135.42857142857133</v>
      </c>
      <c r="O8" s="25">
        <f t="shared" si="6"/>
        <v>-152.57142857142844</v>
      </c>
      <c r="P8" s="25">
        <f t="shared" si="7"/>
        <v>-212.42857142857156</v>
      </c>
      <c r="Q8" s="31"/>
    </row>
    <row r="9" spans="1:17" ht="17" x14ac:dyDescent="0.2">
      <c r="A9" s="30">
        <v>8</v>
      </c>
      <c r="B9" s="12">
        <v>45054</v>
      </c>
      <c r="C9" s="14">
        <v>1882</v>
      </c>
      <c r="D9" s="15">
        <f t="shared" si="0"/>
        <v>1674.4285714285713</v>
      </c>
      <c r="E9" s="25">
        <f t="shared" si="1"/>
        <v>207.57142857142867</v>
      </c>
      <c r="F9" s="13">
        <v>2</v>
      </c>
      <c r="G9" s="18" t="s">
        <v>5</v>
      </c>
      <c r="H9" s="4"/>
      <c r="I9" s="44" t="s">
        <v>10</v>
      </c>
      <c r="J9" s="25">
        <f t="shared" si="9"/>
        <v>-381.85714285714289</v>
      </c>
      <c r="K9" s="25">
        <f t="shared" si="2"/>
        <v>-567.85714285714289</v>
      </c>
      <c r="L9" s="25">
        <f t="shared" si="3"/>
        <v>-587.14285714285711</v>
      </c>
      <c r="M9" s="25">
        <f t="shared" si="4"/>
        <v>-410.42857142857133</v>
      </c>
      <c r="N9" s="25">
        <f t="shared" si="5"/>
        <v>-907.28571428571422</v>
      </c>
      <c r="O9" s="25">
        <f t="shared" si="6"/>
        <v>-884.71428571428578</v>
      </c>
      <c r="P9" s="25">
        <f t="shared" si="7"/>
        <v>-661.28571428571422</v>
      </c>
      <c r="Q9" s="31"/>
    </row>
    <row r="10" spans="1:17" ht="18" thickBot="1" x14ac:dyDescent="0.25">
      <c r="A10" s="30">
        <v>9</v>
      </c>
      <c r="B10" s="12">
        <v>45055</v>
      </c>
      <c r="C10" s="14">
        <v>2306</v>
      </c>
      <c r="D10" s="15">
        <f t="shared" si="0"/>
        <v>1647.2857142857142</v>
      </c>
      <c r="E10" s="25">
        <f t="shared" si="1"/>
        <v>658.71428571428578</v>
      </c>
      <c r="F10" s="13">
        <v>2</v>
      </c>
      <c r="G10" s="18" t="s">
        <v>6</v>
      </c>
      <c r="H10" s="4"/>
      <c r="I10" s="45" t="s">
        <v>11</v>
      </c>
      <c r="J10" s="40">
        <f t="shared" si="9"/>
        <v>-773.57142857142867</v>
      </c>
      <c r="K10" s="40">
        <f t="shared" si="2"/>
        <v>-502.85714285714289</v>
      </c>
      <c r="L10" s="40">
        <f t="shared" si="3"/>
        <v>-536</v>
      </c>
      <c r="M10" s="40">
        <f t="shared" si="4"/>
        <v>-537.71428571428578</v>
      </c>
      <c r="N10" s="40">
        <f t="shared" si="5"/>
        <v>-940.42857142857133</v>
      </c>
      <c r="O10" s="40">
        <f t="shared" si="6"/>
        <v>-616.57142857142844</v>
      </c>
      <c r="P10" s="40">
        <f t="shared" si="7"/>
        <v>-1046.5714285714284</v>
      </c>
      <c r="Q10" s="36"/>
    </row>
    <row r="11" spans="1:17" ht="16" x14ac:dyDescent="0.2">
      <c r="A11" s="30">
        <v>10</v>
      </c>
      <c r="B11" s="12">
        <v>45056</v>
      </c>
      <c r="C11" s="14">
        <v>1988</v>
      </c>
      <c r="D11" s="15">
        <f t="shared" si="0"/>
        <v>1612.7142857142858</v>
      </c>
      <c r="E11" s="25">
        <f t="shared" si="1"/>
        <v>375.28571428571422</v>
      </c>
      <c r="F11" s="13">
        <v>2</v>
      </c>
      <c r="G11" s="18" t="s">
        <v>7</v>
      </c>
      <c r="H11" s="4"/>
    </row>
    <row r="12" spans="1:17" ht="16" x14ac:dyDescent="0.2">
      <c r="A12" s="30">
        <v>11</v>
      </c>
      <c r="B12" s="12">
        <v>45057</v>
      </c>
      <c r="C12" s="14">
        <v>1886</v>
      </c>
      <c r="D12" s="15">
        <f t="shared" si="0"/>
        <v>1639.5714285714287</v>
      </c>
      <c r="E12" s="25">
        <f t="shared" si="1"/>
        <v>246.42857142857133</v>
      </c>
      <c r="F12" s="13">
        <v>2</v>
      </c>
      <c r="G12" s="18" t="s">
        <v>8</v>
      </c>
      <c r="H12" s="4"/>
    </row>
    <row r="13" spans="1:17" ht="16" x14ac:dyDescent="0.2">
      <c r="A13" s="30">
        <v>12</v>
      </c>
      <c r="B13" s="12">
        <v>45058</v>
      </c>
      <c r="C13" s="14">
        <v>1365</v>
      </c>
      <c r="D13" s="15">
        <f t="shared" si="0"/>
        <v>1642.8571428571429</v>
      </c>
      <c r="E13" s="25">
        <f t="shared" si="1"/>
        <v>-277.85714285714289</v>
      </c>
      <c r="F13" s="13">
        <v>2</v>
      </c>
      <c r="G13" s="18" t="s">
        <v>9</v>
      </c>
      <c r="H13" s="4"/>
    </row>
    <row r="14" spans="1:17" ht="16" x14ac:dyDescent="0.2">
      <c r="A14" s="30">
        <v>13</v>
      </c>
      <c r="B14" s="12">
        <v>45059</v>
      </c>
      <c r="C14" s="14">
        <v>998</v>
      </c>
      <c r="D14" s="15">
        <f t="shared" si="0"/>
        <v>1565.8571428571429</v>
      </c>
      <c r="E14" s="25">
        <f t="shared" si="1"/>
        <v>-567.85714285714289</v>
      </c>
      <c r="F14" s="13">
        <v>2</v>
      </c>
      <c r="G14" s="18" t="s">
        <v>10</v>
      </c>
      <c r="H14" s="4"/>
    </row>
    <row r="15" spans="1:17" ht="16" x14ac:dyDescent="0.2">
      <c r="A15" s="30">
        <v>14</v>
      </c>
      <c r="B15" s="12">
        <v>45060</v>
      </c>
      <c r="C15" s="14">
        <v>1052</v>
      </c>
      <c r="D15" s="15">
        <f t="shared" si="0"/>
        <v>1554.8571428571429</v>
      </c>
      <c r="E15" s="25">
        <f t="shared" si="1"/>
        <v>-502.85714285714289</v>
      </c>
      <c r="F15" s="13">
        <v>2</v>
      </c>
      <c r="G15" s="18" t="s">
        <v>11</v>
      </c>
      <c r="H15" s="4"/>
    </row>
    <row r="16" spans="1:17" ht="16" x14ac:dyDescent="0.2">
      <c r="A16" s="30">
        <v>15</v>
      </c>
      <c r="B16" s="12">
        <v>45061</v>
      </c>
      <c r="C16" s="14">
        <v>1905</v>
      </c>
      <c r="D16" s="15">
        <f t="shared" si="0"/>
        <v>1576.2857142857142</v>
      </c>
      <c r="E16" s="25">
        <f t="shared" si="1"/>
        <v>328.71428571428578</v>
      </c>
      <c r="F16" s="13">
        <v>3</v>
      </c>
      <c r="G16" s="18" t="s">
        <v>5</v>
      </c>
      <c r="H16" s="4"/>
    </row>
    <row r="17" spans="1:8" ht="16" x14ac:dyDescent="0.2">
      <c r="A17" s="30">
        <v>16</v>
      </c>
      <c r="B17" s="12">
        <v>45062</v>
      </c>
      <c r="C17" s="14">
        <v>1767</v>
      </c>
      <c r="D17" s="15">
        <f t="shared" si="0"/>
        <v>1585.2857142857142</v>
      </c>
      <c r="E17" s="25">
        <f t="shared" si="1"/>
        <v>181.71428571428578</v>
      </c>
      <c r="F17" s="13">
        <v>3</v>
      </c>
      <c r="G17" s="18" t="s">
        <v>6</v>
      </c>
      <c r="H17" s="4"/>
    </row>
    <row r="18" spans="1:8" ht="16" x14ac:dyDescent="0.2">
      <c r="A18" s="30">
        <v>17</v>
      </c>
      <c r="B18" s="12">
        <v>45063</v>
      </c>
      <c r="C18" s="14">
        <v>1911</v>
      </c>
      <c r="D18" s="15">
        <f t="shared" si="0"/>
        <v>1586.7142857142858</v>
      </c>
      <c r="E18" s="25">
        <f t="shared" si="1"/>
        <v>324.28571428571422</v>
      </c>
      <c r="F18" s="13">
        <v>3</v>
      </c>
      <c r="G18" s="18" t="s">
        <v>7</v>
      </c>
      <c r="H18" s="4"/>
    </row>
    <row r="19" spans="1:8" ht="16" x14ac:dyDescent="0.2">
      <c r="A19" s="30">
        <v>18</v>
      </c>
      <c r="B19" s="12">
        <v>45064</v>
      </c>
      <c r="C19" s="14">
        <v>2036</v>
      </c>
      <c r="D19" s="15">
        <f t="shared" si="0"/>
        <v>1591</v>
      </c>
      <c r="E19" s="25">
        <f t="shared" si="1"/>
        <v>445</v>
      </c>
      <c r="F19" s="13">
        <v>3</v>
      </c>
      <c r="G19" s="18" t="s">
        <v>8</v>
      </c>
      <c r="H19" s="4"/>
    </row>
    <row r="20" spans="1:8" ht="16" x14ac:dyDescent="0.2">
      <c r="A20" s="30">
        <v>19</v>
      </c>
      <c r="B20" s="12">
        <v>45065</v>
      </c>
      <c r="C20" s="14">
        <v>1428</v>
      </c>
      <c r="D20" s="15">
        <f t="shared" si="0"/>
        <v>1593.2857142857142</v>
      </c>
      <c r="E20" s="25">
        <f t="shared" si="1"/>
        <v>-165.28571428571422</v>
      </c>
      <c r="F20" s="13">
        <v>3</v>
      </c>
      <c r="G20" s="18" t="s">
        <v>9</v>
      </c>
      <c r="H20" s="4"/>
    </row>
    <row r="21" spans="1:8" ht="16" x14ac:dyDescent="0.2">
      <c r="A21" s="30">
        <v>20</v>
      </c>
      <c r="B21" s="12">
        <v>45066</v>
      </c>
      <c r="C21" s="14">
        <v>1008</v>
      </c>
      <c r="D21" s="15">
        <f t="shared" si="0"/>
        <v>1595.1428571428571</v>
      </c>
      <c r="E21" s="25">
        <f t="shared" si="1"/>
        <v>-587.14285714285711</v>
      </c>
      <c r="F21" s="13">
        <v>3</v>
      </c>
      <c r="G21" s="18" t="s">
        <v>10</v>
      </c>
      <c r="H21" s="4"/>
    </row>
    <row r="22" spans="1:8" ht="16" x14ac:dyDescent="0.2">
      <c r="A22" s="30">
        <v>21</v>
      </c>
      <c r="B22" s="12">
        <v>45067</v>
      </c>
      <c r="C22" s="14">
        <v>1082</v>
      </c>
      <c r="D22" s="15">
        <f t="shared" si="0"/>
        <v>1618</v>
      </c>
      <c r="E22" s="25">
        <f t="shared" si="1"/>
        <v>-536</v>
      </c>
      <c r="F22" s="13">
        <v>3</v>
      </c>
      <c r="G22" s="18" t="s">
        <v>11</v>
      </c>
      <c r="H22" s="4"/>
    </row>
    <row r="23" spans="1:8" ht="16" x14ac:dyDescent="0.2">
      <c r="A23" s="30">
        <v>22</v>
      </c>
      <c r="B23" s="12">
        <v>45068</v>
      </c>
      <c r="C23" s="14">
        <v>1921</v>
      </c>
      <c r="D23" s="15">
        <f t="shared" si="0"/>
        <v>1586.1428571428571</v>
      </c>
      <c r="E23" s="25">
        <f t="shared" si="1"/>
        <v>334.85714285714289</v>
      </c>
      <c r="F23" s="13">
        <v>4</v>
      </c>
      <c r="G23" s="18" t="s">
        <v>5</v>
      </c>
      <c r="H23" s="4"/>
    </row>
    <row r="24" spans="1:8" ht="16" x14ac:dyDescent="0.2">
      <c r="A24" s="30">
        <v>23</v>
      </c>
      <c r="B24" s="12">
        <v>45069</v>
      </c>
      <c r="C24" s="14">
        <v>1780</v>
      </c>
      <c r="D24" s="15">
        <f t="shared" si="0"/>
        <v>1636.4285714285713</v>
      </c>
      <c r="E24" s="25">
        <f t="shared" si="1"/>
        <v>143.57142857142867</v>
      </c>
      <c r="F24" s="13">
        <v>4</v>
      </c>
      <c r="G24" s="18" t="s">
        <v>6</v>
      </c>
      <c r="H24" s="4"/>
    </row>
    <row r="25" spans="1:8" ht="16" x14ac:dyDescent="0.2">
      <c r="A25" s="30">
        <v>24</v>
      </c>
      <c r="B25" s="12">
        <v>45070</v>
      </c>
      <c r="C25" s="14">
        <v>2071</v>
      </c>
      <c r="D25" s="15">
        <f t="shared" si="0"/>
        <v>1669</v>
      </c>
      <c r="E25" s="25">
        <f t="shared" si="1"/>
        <v>402</v>
      </c>
      <c r="F25" s="13">
        <v>4</v>
      </c>
      <c r="G25" s="18" t="s">
        <v>7</v>
      </c>
      <c r="H25" s="4"/>
    </row>
    <row r="26" spans="1:8" ht="16" x14ac:dyDescent="0.2">
      <c r="A26" s="30">
        <v>25</v>
      </c>
      <c r="B26" s="12">
        <v>45071</v>
      </c>
      <c r="C26" s="14">
        <v>1813</v>
      </c>
      <c r="D26" s="15">
        <f t="shared" si="0"/>
        <v>1669</v>
      </c>
      <c r="E26" s="25">
        <f t="shared" si="1"/>
        <v>144</v>
      </c>
      <c r="F26" s="13">
        <v>4</v>
      </c>
      <c r="G26" s="18" t="s">
        <v>8</v>
      </c>
      <c r="H26" s="4"/>
    </row>
    <row r="27" spans="1:8" ht="16" x14ac:dyDescent="0.2">
      <c r="A27" s="30">
        <v>26</v>
      </c>
      <c r="B27" s="12">
        <v>45072</v>
      </c>
      <c r="C27" s="14">
        <v>1780</v>
      </c>
      <c r="D27" s="15">
        <f t="shared" si="0"/>
        <v>1648.4285714285713</v>
      </c>
      <c r="E27" s="25">
        <f t="shared" si="1"/>
        <v>131.57142857142867</v>
      </c>
      <c r="F27" s="13">
        <v>4</v>
      </c>
      <c r="G27" s="18" t="s">
        <v>9</v>
      </c>
      <c r="H27" s="4"/>
    </row>
    <row r="28" spans="1:8" ht="16" x14ac:dyDescent="0.2">
      <c r="A28" s="30">
        <v>27</v>
      </c>
      <c r="B28" s="12">
        <v>45073</v>
      </c>
      <c r="C28" s="14">
        <v>1236</v>
      </c>
      <c r="D28" s="15">
        <f t="shared" si="0"/>
        <v>1646.4285714285713</v>
      </c>
      <c r="E28" s="25">
        <f t="shared" si="1"/>
        <v>-410.42857142857133</v>
      </c>
      <c r="F28" s="13">
        <v>4</v>
      </c>
      <c r="G28" s="18" t="s">
        <v>10</v>
      </c>
      <c r="H28" s="4"/>
    </row>
    <row r="29" spans="1:8" ht="16" x14ac:dyDescent="0.2">
      <c r="A29" s="30">
        <v>28</v>
      </c>
      <c r="B29" s="12">
        <v>45074</v>
      </c>
      <c r="C29" s="14">
        <v>1082</v>
      </c>
      <c r="D29" s="15">
        <f t="shared" si="0"/>
        <v>1619.7142857142858</v>
      </c>
      <c r="E29" s="25">
        <f t="shared" si="1"/>
        <v>-537.71428571428578</v>
      </c>
      <c r="F29" s="13">
        <v>4</v>
      </c>
      <c r="G29" s="18" t="s">
        <v>11</v>
      </c>
      <c r="H29" s="4"/>
    </row>
    <row r="30" spans="1:8" ht="16" x14ac:dyDescent="0.2">
      <c r="A30" s="30">
        <v>29</v>
      </c>
      <c r="B30" s="12">
        <v>45075</v>
      </c>
      <c r="C30" s="14">
        <v>1777</v>
      </c>
      <c r="D30" s="15">
        <f t="shared" si="0"/>
        <v>1615</v>
      </c>
      <c r="E30" s="25">
        <f t="shared" si="1"/>
        <v>162</v>
      </c>
      <c r="F30" s="13">
        <v>5</v>
      </c>
      <c r="G30" s="18" t="s">
        <v>5</v>
      </c>
      <c r="H30" s="4"/>
    </row>
    <row r="31" spans="1:8" ht="16" x14ac:dyDescent="0.2">
      <c r="A31" s="30">
        <v>30</v>
      </c>
      <c r="B31" s="12">
        <v>45076</v>
      </c>
      <c r="C31" s="14">
        <v>1766</v>
      </c>
      <c r="D31" s="15">
        <f t="shared" si="0"/>
        <v>1585.2857142857142</v>
      </c>
      <c r="E31" s="25">
        <f t="shared" si="1"/>
        <v>180.71428571428578</v>
      </c>
      <c r="F31" s="13">
        <v>5</v>
      </c>
      <c r="G31" s="18" t="s">
        <v>6</v>
      </c>
      <c r="H31" s="4"/>
    </row>
    <row r="32" spans="1:8" ht="16" x14ac:dyDescent="0.2">
      <c r="A32" s="30">
        <v>31</v>
      </c>
      <c r="B32" s="12">
        <v>45077</v>
      </c>
      <c r="C32" s="14">
        <v>1884</v>
      </c>
      <c r="D32" s="15">
        <f t="shared" si="0"/>
        <v>1544.1428571428571</v>
      </c>
      <c r="E32" s="25">
        <f t="shared" si="1"/>
        <v>339.85714285714289</v>
      </c>
      <c r="F32" s="13">
        <v>5</v>
      </c>
      <c r="G32" s="18" t="s">
        <v>7</v>
      </c>
      <c r="H32" s="4"/>
    </row>
    <row r="33" spans="1:8" ht="16" x14ac:dyDescent="0.2">
      <c r="A33" s="30">
        <v>32</v>
      </c>
      <c r="B33" s="12">
        <v>45078</v>
      </c>
      <c r="C33" s="14">
        <v>1780</v>
      </c>
      <c r="D33" s="15">
        <f t="shared" si="0"/>
        <v>1544.5714285714287</v>
      </c>
      <c r="E33" s="25">
        <f t="shared" si="1"/>
        <v>235.42857142857133</v>
      </c>
      <c r="F33" s="13">
        <v>5</v>
      </c>
      <c r="G33" s="18" t="s">
        <v>8</v>
      </c>
      <c r="H33" s="4"/>
    </row>
    <row r="34" spans="1:8" ht="16" x14ac:dyDescent="0.2">
      <c r="A34" s="30">
        <v>33</v>
      </c>
      <c r="B34" s="12">
        <v>45079</v>
      </c>
      <c r="C34" s="14">
        <v>1572</v>
      </c>
      <c r="D34" s="15">
        <f t="shared" si="0"/>
        <v>1707.4285714285713</v>
      </c>
      <c r="E34" s="25">
        <f t="shared" si="1"/>
        <v>-135.42857142857133</v>
      </c>
      <c r="F34" s="13">
        <v>5</v>
      </c>
      <c r="G34" s="18" t="s">
        <v>9</v>
      </c>
      <c r="H34" s="4"/>
    </row>
    <row r="35" spans="1:8" ht="16" x14ac:dyDescent="0.2">
      <c r="A35" s="30">
        <v>34</v>
      </c>
      <c r="B35" s="12">
        <v>45080</v>
      </c>
      <c r="C35" s="14">
        <v>948</v>
      </c>
      <c r="D35" s="15">
        <f t="shared" si="0"/>
        <v>1855.2857142857142</v>
      </c>
      <c r="E35" s="25">
        <f t="shared" si="1"/>
        <v>-907.28571428571422</v>
      </c>
      <c r="F35" s="13">
        <v>5</v>
      </c>
      <c r="G35" s="18" t="s">
        <v>10</v>
      </c>
      <c r="H35" s="4"/>
    </row>
    <row r="36" spans="1:8" ht="16" x14ac:dyDescent="0.2">
      <c r="A36" s="30">
        <v>35</v>
      </c>
      <c r="B36" s="12">
        <v>45081</v>
      </c>
      <c r="C36" s="14">
        <v>1085</v>
      </c>
      <c r="D36" s="15">
        <f t="shared" si="0"/>
        <v>2025.4285714285713</v>
      </c>
      <c r="E36" s="25">
        <f t="shared" si="1"/>
        <v>-940.42857142857133</v>
      </c>
      <c r="F36" s="13">
        <v>5</v>
      </c>
      <c r="G36" s="18" t="s">
        <v>11</v>
      </c>
      <c r="H36" s="4"/>
    </row>
    <row r="37" spans="1:8" ht="16" x14ac:dyDescent="0.2">
      <c r="A37" s="30">
        <v>36</v>
      </c>
      <c r="B37" s="12">
        <v>45082</v>
      </c>
      <c r="C37" s="14">
        <v>2917</v>
      </c>
      <c r="D37" s="15">
        <f t="shared" ref="D37:D54" si="10">AVERAGE(C34:C40)</f>
        <v>2162.1428571428573</v>
      </c>
      <c r="E37" s="25">
        <f t="shared" ref="E37:E54" si="11">C37-D37</f>
        <v>754.85714285714266</v>
      </c>
      <c r="F37" s="13">
        <v>6</v>
      </c>
      <c r="G37" s="18" t="s">
        <v>5</v>
      </c>
      <c r="H37" s="4"/>
    </row>
    <row r="38" spans="1:8" ht="16" x14ac:dyDescent="0.2">
      <c r="A38" s="30">
        <v>37</v>
      </c>
      <c r="B38" s="12">
        <v>45083</v>
      </c>
      <c r="C38" s="14">
        <v>2801</v>
      </c>
      <c r="D38" s="15">
        <f t="shared" si="10"/>
        <v>2270.2857142857142</v>
      </c>
      <c r="E38" s="25">
        <f t="shared" si="11"/>
        <v>530.71428571428578</v>
      </c>
      <c r="F38" s="13">
        <v>6</v>
      </c>
      <c r="G38" s="18" t="s">
        <v>6</v>
      </c>
      <c r="H38" s="4"/>
    </row>
    <row r="39" spans="1:8" ht="16" x14ac:dyDescent="0.2">
      <c r="A39" s="30">
        <v>38</v>
      </c>
      <c r="B39" s="12">
        <v>45084</v>
      </c>
      <c r="C39" s="14">
        <v>3075</v>
      </c>
      <c r="D39" s="15">
        <f t="shared" si="10"/>
        <v>2354.8571428571427</v>
      </c>
      <c r="E39" s="25">
        <f t="shared" si="11"/>
        <v>720.14285714285734</v>
      </c>
      <c r="F39" s="13">
        <v>6</v>
      </c>
      <c r="G39" s="18" t="s">
        <v>7</v>
      </c>
      <c r="H39" s="4"/>
    </row>
    <row r="40" spans="1:8" ht="16" x14ac:dyDescent="0.2">
      <c r="A40" s="30">
        <v>39</v>
      </c>
      <c r="B40" s="12">
        <v>45085</v>
      </c>
      <c r="C40" s="14">
        <v>2737</v>
      </c>
      <c r="D40" s="15">
        <f t="shared" si="10"/>
        <v>2455.1428571428573</v>
      </c>
      <c r="E40" s="25">
        <f t="shared" si="11"/>
        <v>281.85714285714266</v>
      </c>
      <c r="F40" s="13">
        <v>6</v>
      </c>
      <c r="G40" s="18" t="s">
        <v>8</v>
      </c>
      <c r="H40" s="4"/>
    </row>
    <row r="41" spans="1:8" ht="16" x14ac:dyDescent="0.2">
      <c r="A41" s="30">
        <v>40</v>
      </c>
      <c r="B41" s="12">
        <v>45086</v>
      </c>
      <c r="C41" s="14">
        <v>2329</v>
      </c>
      <c r="D41" s="15">
        <f t="shared" si="10"/>
        <v>2481.5714285714284</v>
      </c>
      <c r="E41" s="25">
        <f t="shared" si="11"/>
        <v>-152.57142857142844</v>
      </c>
      <c r="F41" s="13">
        <v>6</v>
      </c>
      <c r="G41" s="18" t="s">
        <v>9</v>
      </c>
      <c r="H41" s="4"/>
    </row>
    <row r="42" spans="1:8" ht="16" x14ac:dyDescent="0.2">
      <c r="A42" s="30">
        <v>41</v>
      </c>
      <c r="B42" s="12">
        <v>45087</v>
      </c>
      <c r="C42" s="14">
        <v>1540</v>
      </c>
      <c r="D42" s="15">
        <f t="shared" si="10"/>
        <v>2424.7142857142858</v>
      </c>
      <c r="E42" s="25">
        <f t="shared" si="11"/>
        <v>-884.71428571428578</v>
      </c>
      <c r="F42" s="13">
        <v>6</v>
      </c>
      <c r="G42" s="18" t="s">
        <v>10</v>
      </c>
      <c r="H42" s="4"/>
    </row>
    <row r="43" spans="1:8" ht="16" x14ac:dyDescent="0.2">
      <c r="A43" s="30">
        <v>42</v>
      </c>
      <c r="B43" s="12">
        <v>45088</v>
      </c>
      <c r="C43" s="14">
        <v>1787</v>
      </c>
      <c r="D43" s="15">
        <f t="shared" si="10"/>
        <v>2403.5714285714284</v>
      </c>
      <c r="E43" s="25">
        <f t="shared" si="11"/>
        <v>-616.57142857142844</v>
      </c>
      <c r="F43" s="13">
        <v>6</v>
      </c>
      <c r="G43" s="18" t="s">
        <v>11</v>
      </c>
      <c r="H43" s="4"/>
    </row>
    <row r="44" spans="1:8" ht="16" x14ac:dyDescent="0.2">
      <c r="A44" s="30">
        <v>43</v>
      </c>
      <c r="B44" s="12">
        <v>45089</v>
      </c>
      <c r="C44" s="14">
        <v>3102</v>
      </c>
      <c r="D44" s="15">
        <f t="shared" si="10"/>
        <v>2471.5714285714284</v>
      </c>
      <c r="E44" s="25">
        <f t="shared" si="11"/>
        <v>630.42857142857156</v>
      </c>
      <c r="F44" s="13">
        <v>7</v>
      </c>
      <c r="G44" s="18" t="s">
        <v>5</v>
      </c>
      <c r="H44" s="4"/>
    </row>
    <row r="45" spans="1:8" ht="16" x14ac:dyDescent="0.2">
      <c r="A45" s="30">
        <v>44</v>
      </c>
      <c r="B45" s="12">
        <v>45090</v>
      </c>
      <c r="C45" s="14">
        <v>2403</v>
      </c>
      <c r="D45" s="15">
        <f t="shared" si="10"/>
        <v>2452.2857142857142</v>
      </c>
      <c r="E45" s="25">
        <f t="shared" si="11"/>
        <v>-49.285714285714221</v>
      </c>
      <c r="F45" s="13">
        <v>7</v>
      </c>
      <c r="G45" s="18" t="s">
        <v>6</v>
      </c>
      <c r="H45" s="4"/>
    </row>
    <row r="46" spans="1:8" ht="16" x14ac:dyDescent="0.2">
      <c r="A46" s="30">
        <v>45</v>
      </c>
      <c r="B46" s="12">
        <v>45091</v>
      </c>
      <c r="C46" s="14">
        <v>2927</v>
      </c>
      <c r="D46" s="15">
        <f t="shared" si="10"/>
        <v>2486.5714285714284</v>
      </c>
      <c r="E46" s="25">
        <f t="shared" si="11"/>
        <v>440.42857142857156</v>
      </c>
      <c r="F46" s="13">
        <v>7</v>
      </c>
      <c r="G46" s="18" t="s">
        <v>7</v>
      </c>
      <c r="H46" s="4"/>
    </row>
    <row r="47" spans="1:8" ht="16" x14ac:dyDescent="0.2">
      <c r="A47" s="30">
        <v>46</v>
      </c>
      <c r="B47" s="12">
        <v>45092</v>
      </c>
      <c r="C47" s="14">
        <v>3213</v>
      </c>
      <c r="D47" s="15">
        <f t="shared" si="10"/>
        <v>2432.4285714285716</v>
      </c>
      <c r="E47" s="25">
        <f t="shared" si="11"/>
        <v>780.57142857142844</v>
      </c>
      <c r="F47" s="13">
        <v>7</v>
      </c>
      <c r="G47" s="18" t="s">
        <v>8</v>
      </c>
      <c r="H47" s="4"/>
    </row>
    <row r="48" spans="1:8" ht="16" x14ac:dyDescent="0.2">
      <c r="A48" s="30">
        <v>47</v>
      </c>
      <c r="B48" s="12">
        <v>45093</v>
      </c>
      <c r="C48" s="14">
        <v>2194</v>
      </c>
      <c r="D48" s="15">
        <f t="shared" si="10"/>
        <v>2406.4285714285716</v>
      </c>
      <c r="E48" s="25">
        <f t="shared" si="11"/>
        <v>-212.42857142857156</v>
      </c>
      <c r="F48" s="13">
        <v>7</v>
      </c>
      <c r="G48" s="18" t="s">
        <v>9</v>
      </c>
      <c r="H48" s="4"/>
    </row>
    <row r="49" spans="1:8" ht="16" x14ac:dyDescent="0.2">
      <c r="A49" s="30">
        <v>48</v>
      </c>
      <c r="B49" s="12">
        <v>45094</v>
      </c>
      <c r="C49" s="14">
        <v>1780</v>
      </c>
      <c r="D49" s="15">
        <f t="shared" si="10"/>
        <v>2441.2857142857142</v>
      </c>
      <c r="E49" s="25">
        <f t="shared" si="11"/>
        <v>-661.28571428571422</v>
      </c>
      <c r="F49" s="13">
        <v>7</v>
      </c>
      <c r="G49" s="18" t="s">
        <v>10</v>
      </c>
      <c r="H49" s="4"/>
    </row>
    <row r="50" spans="1:8" ht="16" x14ac:dyDescent="0.2">
      <c r="A50" s="30">
        <v>49</v>
      </c>
      <c r="B50" s="12">
        <v>45095</v>
      </c>
      <c r="C50" s="14">
        <v>1408</v>
      </c>
      <c r="D50" s="15">
        <f t="shared" si="10"/>
        <v>2454.5714285714284</v>
      </c>
      <c r="E50" s="25">
        <f t="shared" si="11"/>
        <v>-1046.5714285714284</v>
      </c>
      <c r="F50" s="13">
        <v>7</v>
      </c>
      <c r="G50" s="18" t="s">
        <v>11</v>
      </c>
      <c r="H50" s="4"/>
    </row>
    <row r="51" spans="1:8" ht="16" x14ac:dyDescent="0.2">
      <c r="A51" s="30">
        <v>50</v>
      </c>
      <c r="B51" s="12">
        <v>45096</v>
      </c>
      <c r="C51" s="14">
        <v>2920</v>
      </c>
      <c r="D51" s="15">
        <f t="shared" si="10"/>
        <v>2329.5714285714284</v>
      </c>
      <c r="E51" s="25">
        <f t="shared" si="11"/>
        <v>590.42857142857156</v>
      </c>
      <c r="F51" s="13">
        <v>8</v>
      </c>
      <c r="G51" s="18" t="s">
        <v>5</v>
      </c>
      <c r="H51" s="4"/>
    </row>
    <row r="52" spans="1:8" ht="16" x14ac:dyDescent="0.2">
      <c r="A52" s="30">
        <v>51</v>
      </c>
      <c r="B52" s="12">
        <v>45097</v>
      </c>
      <c r="C52" s="14">
        <v>2647</v>
      </c>
      <c r="D52" s="15">
        <f t="shared" si="10"/>
        <v>2437.5714285714284</v>
      </c>
      <c r="E52" s="25">
        <f t="shared" si="11"/>
        <v>209.42857142857156</v>
      </c>
      <c r="F52" s="13">
        <v>8</v>
      </c>
      <c r="G52" s="18" t="s">
        <v>6</v>
      </c>
      <c r="H52" s="4"/>
    </row>
    <row r="53" spans="1:8" ht="16" x14ac:dyDescent="0.2">
      <c r="A53" s="30">
        <v>52</v>
      </c>
      <c r="B53" s="12">
        <v>45098</v>
      </c>
      <c r="C53" s="14">
        <v>3020</v>
      </c>
      <c r="D53" s="15">
        <f t="shared" si="10"/>
        <v>2412</v>
      </c>
      <c r="E53" s="25">
        <f t="shared" si="11"/>
        <v>608</v>
      </c>
      <c r="F53" s="13">
        <v>8</v>
      </c>
      <c r="G53" s="18" t="s">
        <v>7</v>
      </c>
      <c r="H53" s="4"/>
    </row>
    <row r="54" spans="1:8" ht="16" x14ac:dyDescent="0.2">
      <c r="A54" s="30">
        <v>53</v>
      </c>
      <c r="B54" s="12">
        <v>45099</v>
      </c>
      <c r="C54" s="14">
        <v>2338</v>
      </c>
      <c r="D54" s="15">
        <f t="shared" si="10"/>
        <v>2441.5714285714284</v>
      </c>
      <c r="E54" s="25">
        <f t="shared" si="11"/>
        <v>-103.57142857142844</v>
      </c>
      <c r="F54" s="13">
        <v>8</v>
      </c>
      <c r="G54" s="18" t="s">
        <v>8</v>
      </c>
      <c r="H54" s="4"/>
    </row>
    <row r="55" spans="1:8" ht="16" x14ac:dyDescent="0.2">
      <c r="A55" s="30">
        <v>54</v>
      </c>
      <c r="B55" s="12">
        <v>45100</v>
      </c>
      <c r="C55" s="14">
        <v>2950</v>
      </c>
      <c r="D55" s="15"/>
      <c r="E55" s="25"/>
      <c r="F55" s="13">
        <v>8</v>
      </c>
      <c r="G55" s="18" t="s">
        <v>9</v>
      </c>
      <c r="H55" s="4"/>
    </row>
    <row r="56" spans="1:8" ht="16" x14ac:dyDescent="0.2">
      <c r="A56" s="30">
        <v>55</v>
      </c>
      <c r="B56" s="12">
        <v>45101</v>
      </c>
      <c r="C56" s="14">
        <v>1601</v>
      </c>
      <c r="D56" s="15"/>
      <c r="E56" s="25"/>
      <c r="F56" s="13">
        <v>8</v>
      </c>
      <c r="G56" s="18" t="s">
        <v>10</v>
      </c>
      <c r="H56" s="4"/>
    </row>
    <row r="57" spans="1:8" ht="17" thickBot="1" x14ac:dyDescent="0.25">
      <c r="A57" s="32">
        <v>56</v>
      </c>
      <c r="B57" s="39">
        <v>45102</v>
      </c>
      <c r="C57" s="22">
        <v>1615</v>
      </c>
      <c r="D57" s="23"/>
      <c r="E57" s="40"/>
      <c r="F57" s="21">
        <v>8</v>
      </c>
      <c r="G57" s="24" t="s">
        <v>11</v>
      </c>
      <c r="H57" s="4"/>
    </row>
  </sheetData>
  <phoneticPr fontId="8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1B81-25CC-E040-A9A1-324DE6AFBB8A}">
  <sheetPr>
    <tabColor theme="4" tint="0.59999389629810485"/>
  </sheetPr>
  <dimension ref="A1:Q12"/>
  <sheetViews>
    <sheetView workbookViewId="0">
      <selection activeCell="M22" sqref="M22"/>
    </sheetView>
  </sheetViews>
  <sheetFormatPr baseColWidth="10" defaultRowHeight="15" x14ac:dyDescent="0.2"/>
  <cols>
    <col min="1" max="12" width="10.83203125" style="4"/>
    <col min="13" max="13" width="15.33203125" style="4" customWidth="1"/>
    <col min="14" max="15" width="10.83203125" style="4"/>
    <col min="16" max="16" width="16.83203125" style="4" customWidth="1"/>
    <col min="17" max="17" width="24.1640625" style="4" customWidth="1"/>
    <col min="18" max="16384" width="10.83203125" style="4"/>
  </cols>
  <sheetData>
    <row r="1" spans="1:17" ht="18" thickBot="1" x14ac:dyDescent="0.25">
      <c r="A1" s="42" t="s">
        <v>4</v>
      </c>
      <c r="B1" s="49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38" t="s">
        <v>23</v>
      </c>
      <c r="I1" s="48" t="s">
        <v>24</v>
      </c>
    </row>
    <row r="2" spans="1:17" ht="18" thickBot="1" x14ac:dyDescent="0.25">
      <c r="A2" s="50" t="s">
        <v>5</v>
      </c>
      <c r="B2" s="25"/>
      <c r="C2" s="25">
        <f>'S2-Seasonality Identification'!K4</f>
        <v>207.57142857142867</v>
      </c>
      <c r="D2" s="25">
        <f>'S2-Seasonality Identification'!L4</f>
        <v>328.71428571428578</v>
      </c>
      <c r="E2" s="25">
        <f>'S2-Seasonality Identification'!M4</f>
        <v>334.85714285714289</v>
      </c>
      <c r="F2" s="25">
        <f>'S2-Seasonality Identification'!N4</f>
        <v>162</v>
      </c>
      <c r="G2" s="25">
        <f>'S2-Seasonality Identification'!O4</f>
        <v>754.85714285714266</v>
      </c>
      <c r="H2" s="25">
        <f>'S2-Seasonality Identification'!P4</f>
        <v>630.42857142857156</v>
      </c>
      <c r="I2" s="31">
        <f>'S2-Seasonality Identification'!Q4</f>
        <v>590.42857142857156</v>
      </c>
    </row>
    <row r="3" spans="1:17" ht="18" thickBot="1" x14ac:dyDescent="0.25">
      <c r="A3" s="44" t="s">
        <v>6</v>
      </c>
      <c r="B3" s="25"/>
      <c r="C3" s="25">
        <f>'S2-Seasonality Identification'!K5</f>
        <v>658.71428571428578</v>
      </c>
      <c r="D3" s="25">
        <f>'S2-Seasonality Identification'!L5</f>
        <v>181.71428571428578</v>
      </c>
      <c r="E3" s="25">
        <f>'S2-Seasonality Identification'!M5</f>
        <v>143.57142857142867</v>
      </c>
      <c r="F3" s="25">
        <f>'S2-Seasonality Identification'!N5</f>
        <v>180.71428571428578</v>
      </c>
      <c r="G3" s="25">
        <f>'S2-Seasonality Identification'!O5</f>
        <v>530.71428571428578</v>
      </c>
      <c r="H3" s="25">
        <f>'S2-Seasonality Identification'!P5</f>
        <v>-49.285714285714221</v>
      </c>
      <c r="I3" s="31">
        <f>'S2-Seasonality Identification'!Q5</f>
        <v>209.42857142857156</v>
      </c>
      <c r="L3" s="42" t="s">
        <v>4</v>
      </c>
      <c r="M3" s="41" t="s">
        <v>25</v>
      </c>
      <c r="O3" s="42" t="s">
        <v>4</v>
      </c>
      <c r="P3" s="49" t="s">
        <v>25</v>
      </c>
      <c r="Q3" s="48" t="s">
        <v>26</v>
      </c>
    </row>
    <row r="4" spans="1:17" ht="17" x14ac:dyDescent="0.2">
      <c r="A4" s="44" t="s">
        <v>7</v>
      </c>
      <c r="B4" s="25"/>
      <c r="C4" s="25">
        <f>'S2-Seasonality Identification'!K6</f>
        <v>375.28571428571422</v>
      </c>
      <c r="D4" s="25">
        <f>'S2-Seasonality Identification'!L6</f>
        <v>324.28571428571422</v>
      </c>
      <c r="E4" s="25">
        <f>'S2-Seasonality Identification'!M6</f>
        <v>402</v>
      </c>
      <c r="F4" s="25">
        <f>'S2-Seasonality Identification'!N6</f>
        <v>339.85714285714289</v>
      </c>
      <c r="G4" s="25">
        <f>'S2-Seasonality Identification'!O6</f>
        <v>720.14285714285734</v>
      </c>
      <c r="H4" s="25">
        <f>'S2-Seasonality Identification'!P6</f>
        <v>440.42857142857156</v>
      </c>
      <c r="I4" s="31">
        <f>'S2-Seasonality Identification'!Q6</f>
        <v>608</v>
      </c>
      <c r="L4" s="55" t="s">
        <v>5</v>
      </c>
      <c r="M4" s="31">
        <f>AVERAGE(B2:I2)</f>
        <v>429.83673469387759</v>
      </c>
      <c r="O4" s="53" t="s">
        <v>5</v>
      </c>
      <c r="P4" s="25">
        <f>M4</f>
        <v>429.83673469387759</v>
      </c>
      <c r="Q4" s="25">
        <f>P4-$P$12</f>
        <v>436.71865889212825</v>
      </c>
    </row>
    <row r="5" spans="1:17" ht="17" x14ac:dyDescent="0.2">
      <c r="A5" s="44" t="s">
        <v>8</v>
      </c>
      <c r="B5" s="25">
        <f>'S2-Seasonality Identification'!J7</f>
        <v>50.85714285714289</v>
      </c>
      <c r="C5" s="25">
        <f>'S2-Seasonality Identification'!K7</f>
        <v>246.42857142857133</v>
      </c>
      <c r="D5" s="25">
        <f>'S2-Seasonality Identification'!L7</f>
        <v>445</v>
      </c>
      <c r="E5" s="25">
        <f>'S2-Seasonality Identification'!M7</f>
        <v>144</v>
      </c>
      <c r="F5" s="25">
        <f>'S2-Seasonality Identification'!N7</f>
        <v>235.42857142857133</v>
      </c>
      <c r="G5" s="25">
        <f>'S2-Seasonality Identification'!O7</f>
        <v>281.85714285714266</v>
      </c>
      <c r="H5" s="25">
        <f>'S2-Seasonality Identification'!P7</f>
        <v>780.57142857142844</v>
      </c>
      <c r="I5" s="31">
        <f>'S2-Seasonality Identification'!Q7</f>
        <v>-103.57142857142844</v>
      </c>
      <c r="L5" s="56" t="s">
        <v>6</v>
      </c>
      <c r="M5" s="31">
        <f t="shared" ref="M5:M10" si="0">AVERAGE(B3:I3)</f>
        <v>265.08163265306132</v>
      </c>
      <c r="O5" s="54" t="s">
        <v>6</v>
      </c>
      <c r="P5" s="25">
        <f t="shared" ref="P5:P10" si="1">M5</f>
        <v>265.08163265306132</v>
      </c>
      <c r="Q5" s="25">
        <f t="shared" ref="Q5:Q10" si="2">P5-$P$12</f>
        <v>271.96355685131198</v>
      </c>
    </row>
    <row r="6" spans="1:17" ht="17" x14ac:dyDescent="0.2">
      <c r="A6" s="44" t="s">
        <v>9</v>
      </c>
      <c r="B6" s="25">
        <f>'S2-Seasonality Identification'!J8</f>
        <v>-65.85714285714289</v>
      </c>
      <c r="C6" s="25">
        <f>'S2-Seasonality Identification'!K8</f>
        <v>-277.85714285714289</v>
      </c>
      <c r="D6" s="25">
        <f>'S2-Seasonality Identification'!L8</f>
        <v>-165.28571428571422</v>
      </c>
      <c r="E6" s="25">
        <f>'S2-Seasonality Identification'!M8</f>
        <v>131.57142857142867</v>
      </c>
      <c r="F6" s="25">
        <f>'S2-Seasonality Identification'!N8</f>
        <v>-135.42857142857133</v>
      </c>
      <c r="G6" s="25">
        <f>'S2-Seasonality Identification'!O8</f>
        <v>-152.57142857142844</v>
      </c>
      <c r="H6" s="25">
        <f>'S2-Seasonality Identification'!P8</f>
        <v>-212.42857142857156</v>
      </c>
      <c r="I6" s="31"/>
      <c r="L6" s="56" t="s">
        <v>7</v>
      </c>
      <c r="M6" s="31">
        <f t="shared" si="0"/>
        <v>458.57142857142856</v>
      </c>
      <c r="O6" s="54" t="s">
        <v>7</v>
      </c>
      <c r="P6" s="25">
        <f t="shared" si="1"/>
        <v>458.57142857142856</v>
      </c>
      <c r="Q6" s="25">
        <f t="shared" si="2"/>
        <v>465.45335276967921</v>
      </c>
    </row>
    <row r="7" spans="1:17" ht="17" x14ac:dyDescent="0.2">
      <c r="A7" s="44" t="s">
        <v>10</v>
      </c>
      <c r="B7" s="25">
        <f>'S2-Seasonality Identification'!J9</f>
        <v>-381.85714285714289</v>
      </c>
      <c r="C7" s="25">
        <f>'S2-Seasonality Identification'!K9</f>
        <v>-567.85714285714289</v>
      </c>
      <c r="D7" s="25">
        <f>'S2-Seasonality Identification'!L9</f>
        <v>-587.14285714285711</v>
      </c>
      <c r="E7" s="25">
        <f>'S2-Seasonality Identification'!M9</f>
        <v>-410.42857142857133</v>
      </c>
      <c r="F7" s="25">
        <f>'S2-Seasonality Identification'!N9</f>
        <v>-907.28571428571422</v>
      </c>
      <c r="G7" s="25">
        <f>'S2-Seasonality Identification'!O9</f>
        <v>-884.71428571428578</v>
      </c>
      <c r="H7" s="25">
        <f>'S2-Seasonality Identification'!P9</f>
        <v>-661.28571428571422</v>
      </c>
      <c r="I7" s="31"/>
      <c r="L7" s="56" t="s">
        <v>8</v>
      </c>
      <c r="M7" s="31">
        <f t="shared" si="0"/>
        <v>260.07142857142856</v>
      </c>
      <c r="O7" s="54" t="s">
        <v>8</v>
      </c>
      <c r="P7" s="25">
        <f t="shared" si="1"/>
        <v>260.07142857142856</v>
      </c>
      <c r="Q7" s="25">
        <f t="shared" si="2"/>
        <v>266.95335276967921</v>
      </c>
    </row>
    <row r="8" spans="1:17" ht="18" thickBot="1" x14ac:dyDescent="0.25">
      <c r="A8" s="45" t="s">
        <v>11</v>
      </c>
      <c r="B8" s="40">
        <f>'S2-Seasonality Identification'!J10</f>
        <v>-773.57142857142867</v>
      </c>
      <c r="C8" s="40">
        <f>'S2-Seasonality Identification'!K10</f>
        <v>-502.85714285714289</v>
      </c>
      <c r="D8" s="40">
        <f>'S2-Seasonality Identification'!L10</f>
        <v>-536</v>
      </c>
      <c r="E8" s="40">
        <f>'S2-Seasonality Identification'!M10</f>
        <v>-537.71428571428578</v>
      </c>
      <c r="F8" s="40">
        <f>'S2-Seasonality Identification'!N10</f>
        <v>-940.42857142857133</v>
      </c>
      <c r="G8" s="40">
        <f>'S2-Seasonality Identification'!O10</f>
        <v>-616.57142857142844</v>
      </c>
      <c r="H8" s="40">
        <f>'S2-Seasonality Identification'!P10</f>
        <v>-1046.5714285714284</v>
      </c>
      <c r="I8" s="36"/>
      <c r="L8" s="56" t="s">
        <v>9</v>
      </c>
      <c r="M8" s="31">
        <f t="shared" si="0"/>
        <v>-125.4081632653061</v>
      </c>
      <c r="O8" s="54" t="s">
        <v>9</v>
      </c>
      <c r="P8" s="25">
        <f t="shared" si="1"/>
        <v>-125.4081632653061</v>
      </c>
      <c r="Q8" s="25">
        <f t="shared" si="2"/>
        <v>-118.52623906705543</v>
      </c>
    </row>
    <row r="9" spans="1:17" ht="16" x14ac:dyDescent="0.2">
      <c r="L9" s="56" t="s">
        <v>10</v>
      </c>
      <c r="M9" s="31">
        <f t="shared" si="0"/>
        <v>-628.65306122448976</v>
      </c>
      <c r="O9" s="54" t="s">
        <v>10</v>
      </c>
      <c r="P9" s="25">
        <f t="shared" si="1"/>
        <v>-628.65306122448976</v>
      </c>
      <c r="Q9" s="25">
        <f t="shared" si="2"/>
        <v>-621.7711370262391</v>
      </c>
    </row>
    <row r="10" spans="1:17" ht="17" thickBot="1" x14ac:dyDescent="0.25">
      <c r="L10" s="57" t="s">
        <v>11</v>
      </c>
      <c r="M10" s="36">
        <f t="shared" si="0"/>
        <v>-707.67346938775506</v>
      </c>
      <c r="O10" s="54" t="s">
        <v>11</v>
      </c>
      <c r="P10" s="25">
        <f t="shared" si="1"/>
        <v>-707.67346938775506</v>
      </c>
      <c r="Q10" s="25">
        <f t="shared" si="2"/>
        <v>-700.7915451895044</v>
      </c>
    </row>
    <row r="11" spans="1:17" x14ac:dyDescent="0.2">
      <c r="O11" s="51"/>
      <c r="P11" s="25">
        <f>SUM(P4:P10)</f>
        <v>-48.173469387754722</v>
      </c>
      <c r="Q11" s="25">
        <f>SUM(Q4:Q10)</f>
        <v>0</v>
      </c>
    </row>
    <row r="12" spans="1:17" ht="16" thickBot="1" x14ac:dyDescent="0.25">
      <c r="O12" s="52"/>
      <c r="P12" s="25">
        <f>P11/7</f>
        <v>-6.8819241982506743</v>
      </c>
      <c r="Q12" s="13"/>
    </row>
  </sheetData>
  <phoneticPr fontId="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8877-951E-8949-B9A9-898530CD53A8}">
  <sheetPr>
    <tabColor theme="4" tint="0.59999389629810485"/>
  </sheetPr>
  <dimension ref="A1:H57"/>
  <sheetViews>
    <sheetView workbookViewId="0">
      <selection activeCell="S28" sqref="S28"/>
    </sheetView>
  </sheetViews>
  <sheetFormatPr baseColWidth="10" defaultRowHeight="15" x14ac:dyDescent="0.2"/>
  <cols>
    <col min="1" max="3" width="10.83203125" style="4"/>
    <col min="4" max="4" width="10" style="4" customWidth="1"/>
    <col min="5" max="5" width="10.83203125" style="4"/>
    <col min="6" max="6" width="16" style="4" customWidth="1"/>
    <col min="7" max="7" width="8.6640625" style="4" customWidth="1"/>
    <col min="8" max="16384" width="10.83203125" style="4"/>
  </cols>
  <sheetData>
    <row r="1" spans="1:8" ht="35" thickBot="1" x14ac:dyDescent="0.25">
      <c r="A1" s="47" t="s">
        <v>14</v>
      </c>
      <c r="B1" s="38" t="s">
        <v>1</v>
      </c>
      <c r="C1" s="38" t="s">
        <v>4</v>
      </c>
      <c r="D1" s="38" t="s">
        <v>2</v>
      </c>
      <c r="E1" s="38" t="s">
        <v>12</v>
      </c>
      <c r="F1" s="38" t="s">
        <v>27</v>
      </c>
      <c r="G1" s="38" t="s">
        <v>28</v>
      </c>
      <c r="H1" s="48" t="s">
        <v>29</v>
      </c>
    </row>
    <row r="2" spans="1:8" ht="16" x14ac:dyDescent="0.2">
      <c r="A2" s="30">
        <v>1</v>
      </c>
      <c r="B2" s="12">
        <v>45047</v>
      </c>
      <c r="C2" s="13" t="s">
        <v>5</v>
      </c>
      <c r="D2" s="14">
        <v>1576</v>
      </c>
      <c r="E2" s="13"/>
      <c r="F2" s="25"/>
      <c r="G2" s="13"/>
      <c r="H2" s="18"/>
    </row>
    <row r="3" spans="1:8" ht="16" x14ac:dyDescent="0.2">
      <c r="A3" s="30">
        <v>2</v>
      </c>
      <c r="B3" s="12">
        <v>45048</v>
      </c>
      <c r="C3" s="13" t="s">
        <v>6</v>
      </c>
      <c r="D3" s="14">
        <v>2299</v>
      </c>
      <c r="E3" s="13"/>
      <c r="F3" s="25"/>
      <c r="G3" s="13"/>
      <c r="H3" s="18"/>
    </row>
    <row r="4" spans="1:8" ht="16" x14ac:dyDescent="0.2">
      <c r="A4" s="30">
        <v>3</v>
      </c>
      <c r="B4" s="12">
        <v>45049</v>
      </c>
      <c r="C4" s="13" t="s">
        <v>7</v>
      </c>
      <c r="D4" s="14">
        <v>1878</v>
      </c>
      <c r="E4" s="13"/>
      <c r="F4" s="25"/>
      <c r="G4" s="13"/>
      <c r="H4" s="18"/>
    </row>
    <row r="5" spans="1:8" ht="16" x14ac:dyDescent="0.2">
      <c r="A5" s="30">
        <v>4</v>
      </c>
      <c r="B5" s="12">
        <v>45050</v>
      </c>
      <c r="C5" s="13" t="s">
        <v>8</v>
      </c>
      <c r="D5" s="14">
        <v>1628</v>
      </c>
      <c r="E5" s="15">
        <f>AVERAGE(D2:D8)</f>
        <v>1577.1428571428571</v>
      </c>
      <c r="F5" s="25">
        <f>'S2-Estimated Seasonal Pattern'!$M$7</f>
        <v>260.07142857142856</v>
      </c>
      <c r="G5" s="16">
        <f>E5+F5</f>
        <v>1837.2142857142858</v>
      </c>
      <c r="H5" s="31">
        <f>D5-G5</f>
        <v>-209.21428571428578</v>
      </c>
    </row>
    <row r="6" spans="1:8" ht="16" x14ac:dyDescent="0.2">
      <c r="A6" s="30">
        <v>5</v>
      </c>
      <c r="B6" s="12">
        <v>45051</v>
      </c>
      <c r="C6" s="13" t="s">
        <v>9</v>
      </c>
      <c r="D6" s="14">
        <v>1555</v>
      </c>
      <c r="E6" s="15">
        <f t="shared" ref="E6:E54" si="0">AVERAGE(D3:D9)</f>
        <v>1620.8571428571429</v>
      </c>
      <c r="F6" s="25">
        <f>'S2-Estimated Seasonal Pattern'!$M$8</f>
        <v>-125.4081632653061</v>
      </c>
      <c r="G6" s="16">
        <f t="shared" ref="G6:G54" si="1">E6+F6</f>
        <v>1495.4489795918369</v>
      </c>
      <c r="H6" s="31">
        <f t="shared" ref="H6:H54" si="2">D6-G6</f>
        <v>59.55102040816314</v>
      </c>
    </row>
    <row r="7" spans="1:8" ht="16" x14ac:dyDescent="0.2">
      <c r="A7" s="30">
        <v>6</v>
      </c>
      <c r="B7" s="12">
        <v>45052</v>
      </c>
      <c r="C7" s="13" t="s">
        <v>10</v>
      </c>
      <c r="D7" s="14">
        <v>1240</v>
      </c>
      <c r="E7" s="15">
        <f t="shared" si="0"/>
        <v>1621.8571428571429</v>
      </c>
      <c r="F7" s="25">
        <f>'S2-Estimated Seasonal Pattern'!$M$9</f>
        <v>-628.65306122448976</v>
      </c>
      <c r="G7" s="16">
        <f t="shared" si="1"/>
        <v>993.20408163265313</v>
      </c>
      <c r="H7" s="31">
        <f t="shared" si="2"/>
        <v>246.79591836734687</v>
      </c>
    </row>
    <row r="8" spans="1:8" ht="16" x14ac:dyDescent="0.2">
      <c r="A8" s="30">
        <v>7</v>
      </c>
      <c r="B8" s="12">
        <v>45053</v>
      </c>
      <c r="C8" s="13" t="s">
        <v>11</v>
      </c>
      <c r="D8" s="14">
        <v>864</v>
      </c>
      <c r="E8" s="15">
        <f t="shared" si="0"/>
        <v>1637.5714285714287</v>
      </c>
      <c r="F8" s="25">
        <f>'S2-Estimated Seasonal Pattern'!$M$10</f>
        <v>-707.67346938775506</v>
      </c>
      <c r="G8" s="16">
        <f t="shared" si="1"/>
        <v>929.89795918367361</v>
      </c>
      <c r="H8" s="31">
        <f t="shared" si="2"/>
        <v>-65.897959183673606</v>
      </c>
    </row>
    <row r="9" spans="1:8" ht="16" x14ac:dyDescent="0.2">
      <c r="A9" s="30">
        <v>8</v>
      </c>
      <c r="B9" s="12">
        <v>45054</v>
      </c>
      <c r="C9" s="13" t="s">
        <v>5</v>
      </c>
      <c r="D9" s="14">
        <v>1882</v>
      </c>
      <c r="E9" s="15">
        <f t="shared" si="0"/>
        <v>1674.4285714285713</v>
      </c>
      <c r="F9" s="25">
        <f>'S2-Estimated Seasonal Pattern'!$M$4</f>
        <v>429.83673469387759</v>
      </c>
      <c r="G9" s="16">
        <f t="shared" si="1"/>
        <v>2104.2653061224491</v>
      </c>
      <c r="H9" s="31">
        <f t="shared" si="2"/>
        <v>-222.26530612244915</v>
      </c>
    </row>
    <row r="10" spans="1:8" ht="16" x14ac:dyDescent="0.2">
      <c r="A10" s="30">
        <v>9</v>
      </c>
      <c r="B10" s="12">
        <v>45055</v>
      </c>
      <c r="C10" s="13" t="s">
        <v>6</v>
      </c>
      <c r="D10" s="14">
        <v>2306</v>
      </c>
      <c r="E10" s="15">
        <f t="shared" si="0"/>
        <v>1647.2857142857142</v>
      </c>
      <c r="F10" s="25">
        <f>'S2-Estimated Seasonal Pattern'!$M$5</f>
        <v>265.08163265306132</v>
      </c>
      <c r="G10" s="16">
        <f t="shared" si="1"/>
        <v>1912.3673469387754</v>
      </c>
      <c r="H10" s="31">
        <f t="shared" si="2"/>
        <v>393.63265306122457</v>
      </c>
    </row>
    <row r="11" spans="1:8" ht="16" x14ac:dyDescent="0.2">
      <c r="A11" s="30">
        <v>10</v>
      </c>
      <c r="B11" s="12">
        <v>45056</v>
      </c>
      <c r="C11" s="13" t="s">
        <v>7</v>
      </c>
      <c r="D11" s="14">
        <v>1988</v>
      </c>
      <c r="E11" s="15">
        <f t="shared" si="0"/>
        <v>1612.7142857142858</v>
      </c>
      <c r="F11" s="25">
        <f>'S2-Estimated Seasonal Pattern'!$M$6</f>
        <v>458.57142857142856</v>
      </c>
      <c r="G11" s="16">
        <f t="shared" si="1"/>
        <v>2071.2857142857142</v>
      </c>
      <c r="H11" s="31">
        <f t="shared" si="2"/>
        <v>-83.285714285714221</v>
      </c>
    </row>
    <row r="12" spans="1:8" ht="16" x14ac:dyDescent="0.2">
      <c r="A12" s="30">
        <v>11</v>
      </c>
      <c r="B12" s="12">
        <v>45057</v>
      </c>
      <c r="C12" s="13" t="s">
        <v>8</v>
      </c>
      <c r="D12" s="14">
        <v>1886</v>
      </c>
      <c r="E12" s="15">
        <f t="shared" si="0"/>
        <v>1639.5714285714287</v>
      </c>
      <c r="F12" s="25">
        <f>'S2-Estimated Seasonal Pattern'!$M$7</f>
        <v>260.07142857142856</v>
      </c>
      <c r="G12" s="16">
        <f t="shared" si="1"/>
        <v>1899.6428571428573</v>
      </c>
      <c r="H12" s="31">
        <f t="shared" si="2"/>
        <v>-13.642857142857338</v>
      </c>
    </row>
    <row r="13" spans="1:8" ht="16" x14ac:dyDescent="0.2">
      <c r="A13" s="30">
        <v>12</v>
      </c>
      <c r="B13" s="12">
        <v>45058</v>
      </c>
      <c r="C13" s="13" t="s">
        <v>9</v>
      </c>
      <c r="D13" s="14">
        <v>1365</v>
      </c>
      <c r="E13" s="15">
        <f t="shared" si="0"/>
        <v>1642.8571428571429</v>
      </c>
      <c r="F13" s="25">
        <f>'S2-Estimated Seasonal Pattern'!$M$8</f>
        <v>-125.4081632653061</v>
      </c>
      <c r="G13" s="16">
        <f t="shared" si="1"/>
        <v>1517.4489795918369</v>
      </c>
      <c r="H13" s="31">
        <f t="shared" si="2"/>
        <v>-152.44897959183686</v>
      </c>
    </row>
    <row r="14" spans="1:8" ht="16" x14ac:dyDescent="0.2">
      <c r="A14" s="30">
        <v>13</v>
      </c>
      <c r="B14" s="12">
        <v>45059</v>
      </c>
      <c r="C14" s="13" t="s">
        <v>10</v>
      </c>
      <c r="D14" s="14">
        <v>998</v>
      </c>
      <c r="E14" s="15">
        <f t="shared" si="0"/>
        <v>1565.8571428571429</v>
      </c>
      <c r="F14" s="25">
        <f>'S2-Estimated Seasonal Pattern'!$M$9</f>
        <v>-628.65306122448976</v>
      </c>
      <c r="G14" s="16">
        <f t="shared" si="1"/>
        <v>937.20408163265313</v>
      </c>
      <c r="H14" s="31">
        <f t="shared" si="2"/>
        <v>60.795918367346871</v>
      </c>
    </row>
    <row r="15" spans="1:8" ht="16" x14ac:dyDescent="0.2">
      <c r="A15" s="30">
        <v>14</v>
      </c>
      <c r="B15" s="12">
        <v>45060</v>
      </c>
      <c r="C15" s="13" t="s">
        <v>11</v>
      </c>
      <c r="D15" s="14">
        <v>1052</v>
      </c>
      <c r="E15" s="15">
        <f t="shared" si="0"/>
        <v>1554.8571428571429</v>
      </c>
      <c r="F15" s="25">
        <f>'S2-Estimated Seasonal Pattern'!$M$10</f>
        <v>-707.67346938775506</v>
      </c>
      <c r="G15" s="16">
        <f t="shared" si="1"/>
        <v>847.18367346938783</v>
      </c>
      <c r="H15" s="31">
        <f t="shared" si="2"/>
        <v>204.81632653061217</v>
      </c>
    </row>
    <row r="16" spans="1:8" ht="16" x14ac:dyDescent="0.2">
      <c r="A16" s="30">
        <v>15</v>
      </c>
      <c r="B16" s="12">
        <v>45061</v>
      </c>
      <c r="C16" s="13" t="s">
        <v>5</v>
      </c>
      <c r="D16" s="14">
        <v>1905</v>
      </c>
      <c r="E16" s="15">
        <f t="shared" si="0"/>
        <v>1576.2857142857142</v>
      </c>
      <c r="F16" s="25">
        <f>'S2-Estimated Seasonal Pattern'!$M$4</f>
        <v>429.83673469387759</v>
      </c>
      <c r="G16" s="16">
        <f t="shared" si="1"/>
        <v>2006.1224489795918</v>
      </c>
      <c r="H16" s="31">
        <f t="shared" si="2"/>
        <v>-101.12244897959181</v>
      </c>
    </row>
    <row r="17" spans="1:8" ht="16" x14ac:dyDescent="0.2">
      <c r="A17" s="30">
        <v>16</v>
      </c>
      <c r="B17" s="12">
        <v>45062</v>
      </c>
      <c r="C17" s="13" t="s">
        <v>6</v>
      </c>
      <c r="D17" s="14">
        <v>1767</v>
      </c>
      <c r="E17" s="15">
        <f t="shared" si="0"/>
        <v>1585.2857142857142</v>
      </c>
      <c r="F17" s="25">
        <f>'S2-Estimated Seasonal Pattern'!$M$5</f>
        <v>265.08163265306132</v>
      </c>
      <c r="G17" s="16">
        <f t="shared" si="1"/>
        <v>1850.3673469387754</v>
      </c>
      <c r="H17" s="31">
        <f t="shared" si="2"/>
        <v>-83.367346938775427</v>
      </c>
    </row>
    <row r="18" spans="1:8" ht="16" x14ac:dyDescent="0.2">
      <c r="A18" s="30">
        <v>17</v>
      </c>
      <c r="B18" s="12">
        <v>45063</v>
      </c>
      <c r="C18" s="13" t="s">
        <v>7</v>
      </c>
      <c r="D18" s="14">
        <v>1911</v>
      </c>
      <c r="E18" s="15">
        <f t="shared" si="0"/>
        <v>1586.7142857142858</v>
      </c>
      <c r="F18" s="25">
        <f>'S2-Estimated Seasonal Pattern'!$M$6</f>
        <v>458.57142857142856</v>
      </c>
      <c r="G18" s="16">
        <f t="shared" si="1"/>
        <v>2045.2857142857142</v>
      </c>
      <c r="H18" s="31">
        <f t="shared" si="2"/>
        <v>-134.28571428571422</v>
      </c>
    </row>
    <row r="19" spans="1:8" ht="16" x14ac:dyDescent="0.2">
      <c r="A19" s="30">
        <v>18</v>
      </c>
      <c r="B19" s="12">
        <v>45064</v>
      </c>
      <c r="C19" s="13" t="s">
        <v>8</v>
      </c>
      <c r="D19" s="14">
        <v>2036</v>
      </c>
      <c r="E19" s="15">
        <f t="shared" si="0"/>
        <v>1591</v>
      </c>
      <c r="F19" s="25">
        <f>'S2-Estimated Seasonal Pattern'!$M$7</f>
        <v>260.07142857142856</v>
      </c>
      <c r="G19" s="16">
        <f t="shared" si="1"/>
        <v>1851.0714285714284</v>
      </c>
      <c r="H19" s="31">
        <f t="shared" si="2"/>
        <v>184.92857142857156</v>
      </c>
    </row>
    <row r="20" spans="1:8" ht="16" x14ac:dyDescent="0.2">
      <c r="A20" s="30">
        <v>19</v>
      </c>
      <c r="B20" s="12">
        <v>45065</v>
      </c>
      <c r="C20" s="13" t="s">
        <v>9</v>
      </c>
      <c r="D20" s="14">
        <v>1428</v>
      </c>
      <c r="E20" s="15">
        <f t="shared" si="0"/>
        <v>1593.2857142857142</v>
      </c>
      <c r="F20" s="25">
        <f>'S2-Estimated Seasonal Pattern'!$M$8</f>
        <v>-125.4081632653061</v>
      </c>
      <c r="G20" s="16">
        <f t="shared" si="1"/>
        <v>1467.8775510204082</v>
      </c>
      <c r="H20" s="31">
        <f t="shared" si="2"/>
        <v>-39.877551020408191</v>
      </c>
    </row>
    <row r="21" spans="1:8" ht="16" x14ac:dyDescent="0.2">
      <c r="A21" s="30">
        <v>20</v>
      </c>
      <c r="B21" s="12">
        <v>45066</v>
      </c>
      <c r="C21" s="13" t="s">
        <v>10</v>
      </c>
      <c r="D21" s="14">
        <v>1008</v>
      </c>
      <c r="E21" s="15">
        <f t="shared" si="0"/>
        <v>1595.1428571428571</v>
      </c>
      <c r="F21" s="25">
        <f>'S2-Estimated Seasonal Pattern'!$M$9</f>
        <v>-628.65306122448976</v>
      </c>
      <c r="G21" s="16">
        <f t="shared" si="1"/>
        <v>966.48979591836735</v>
      </c>
      <c r="H21" s="31">
        <f t="shared" si="2"/>
        <v>41.510204081632651</v>
      </c>
    </row>
    <row r="22" spans="1:8" ht="16" x14ac:dyDescent="0.2">
      <c r="A22" s="30">
        <v>21</v>
      </c>
      <c r="B22" s="12">
        <v>45067</v>
      </c>
      <c r="C22" s="13" t="s">
        <v>11</v>
      </c>
      <c r="D22" s="14">
        <v>1082</v>
      </c>
      <c r="E22" s="15">
        <f t="shared" si="0"/>
        <v>1618</v>
      </c>
      <c r="F22" s="25">
        <f>'S2-Estimated Seasonal Pattern'!$M$10</f>
        <v>-707.67346938775506</v>
      </c>
      <c r="G22" s="16">
        <f t="shared" si="1"/>
        <v>910.32653061224494</v>
      </c>
      <c r="H22" s="31">
        <f t="shared" si="2"/>
        <v>171.67346938775506</v>
      </c>
    </row>
    <row r="23" spans="1:8" ht="16" x14ac:dyDescent="0.2">
      <c r="A23" s="30">
        <v>22</v>
      </c>
      <c r="B23" s="12">
        <v>45068</v>
      </c>
      <c r="C23" s="13" t="s">
        <v>5</v>
      </c>
      <c r="D23" s="14">
        <v>1921</v>
      </c>
      <c r="E23" s="15">
        <f t="shared" si="0"/>
        <v>1586.1428571428571</v>
      </c>
      <c r="F23" s="25">
        <f>'S2-Estimated Seasonal Pattern'!$M$4</f>
        <v>429.83673469387759</v>
      </c>
      <c r="G23" s="16">
        <f t="shared" si="1"/>
        <v>2015.9795918367347</v>
      </c>
      <c r="H23" s="31">
        <f t="shared" si="2"/>
        <v>-94.979591836734699</v>
      </c>
    </row>
    <row r="24" spans="1:8" ht="16" x14ac:dyDescent="0.2">
      <c r="A24" s="30">
        <v>23</v>
      </c>
      <c r="B24" s="12">
        <v>45069</v>
      </c>
      <c r="C24" s="13" t="s">
        <v>6</v>
      </c>
      <c r="D24" s="14">
        <v>1780</v>
      </c>
      <c r="E24" s="15">
        <f t="shared" si="0"/>
        <v>1636.4285714285713</v>
      </c>
      <c r="F24" s="25">
        <f>'S2-Estimated Seasonal Pattern'!$M$5</f>
        <v>265.08163265306132</v>
      </c>
      <c r="G24" s="16">
        <f t="shared" si="1"/>
        <v>1901.5102040816328</v>
      </c>
      <c r="H24" s="31">
        <f t="shared" si="2"/>
        <v>-121.51020408163276</v>
      </c>
    </row>
    <row r="25" spans="1:8" ht="16" x14ac:dyDescent="0.2">
      <c r="A25" s="30">
        <v>24</v>
      </c>
      <c r="B25" s="12">
        <v>45070</v>
      </c>
      <c r="C25" s="13" t="s">
        <v>7</v>
      </c>
      <c r="D25" s="14">
        <v>2071</v>
      </c>
      <c r="E25" s="15">
        <f t="shared" si="0"/>
        <v>1669</v>
      </c>
      <c r="F25" s="25">
        <f>'S2-Estimated Seasonal Pattern'!$M$6</f>
        <v>458.57142857142856</v>
      </c>
      <c r="G25" s="16">
        <f t="shared" si="1"/>
        <v>2127.5714285714284</v>
      </c>
      <c r="H25" s="31">
        <f t="shared" si="2"/>
        <v>-56.571428571428442</v>
      </c>
    </row>
    <row r="26" spans="1:8" ht="16" x14ac:dyDescent="0.2">
      <c r="A26" s="30">
        <v>25</v>
      </c>
      <c r="B26" s="12">
        <v>45071</v>
      </c>
      <c r="C26" s="13" t="s">
        <v>8</v>
      </c>
      <c r="D26" s="14">
        <v>1813</v>
      </c>
      <c r="E26" s="15">
        <f t="shared" si="0"/>
        <v>1669</v>
      </c>
      <c r="F26" s="25">
        <f>'S2-Estimated Seasonal Pattern'!$M$7</f>
        <v>260.07142857142856</v>
      </c>
      <c r="G26" s="16">
        <f t="shared" si="1"/>
        <v>1929.0714285714284</v>
      </c>
      <c r="H26" s="31">
        <f t="shared" si="2"/>
        <v>-116.07142857142844</v>
      </c>
    </row>
    <row r="27" spans="1:8" ht="16" x14ac:dyDescent="0.2">
      <c r="A27" s="30">
        <v>26</v>
      </c>
      <c r="B27" s="12">
        <v>45072</v>
      </c>
      <c r="C27" s="13" t="s">
        <v>9</v>
      </c>
      <c r="D27" s="14">
        <v>1780</v>
      </c>
      <c r="E27" s="15">
        <f t="shared" si="0"/>
        <v>1648.4285714285713</v>
      </c>
      <c r="F27" s="25">
        <f>'S2-Estimated Seasonal Pattern'!$M$8</f>
        <v>-125.4081632653061</v>
      </c>
      <c r="G27" s="16">
        <f t="shared" si="1"/>
        <v>1523.0204081632653</v>
      </c>
      <c r="H27" s="31">
        <f t="shared" si="2"/>
        <v>256.9795918367347</v>
      </c>
    </row>
    <row r="28" spans="1:8" ht="16" x14ac:dyDescent="0.2">
      <c r="A28" s="30">
        <v>27</v>
      </c>
      <c r="B28" s="12">
        <v>45073</v>
      </c>
      <c r="C28" s="13" t="s">
        <v>10</v>
      </c>
      <c r="D28" s="14">
        <v>1236</v>
      </c>
      <c r="E28" s="15">
        <f t="shared" si="0"/>
        <v>1646.4285714285713</v>
      </c>
      <c r="F28" s="25">
        <f>'S2-Estimated Seasonal Pattern'!$M$9</f>
        <v>-628.65306122448976</v>
      </c>
      <c r="G28" s="16">
        <f t="shared" si="1"/>
        <v>1017.7755102040816</v>
      </c>
      <c r="H28" s="31">
        <f t="shared" si="2"/>
        <v>218.22448979591843</v>
      </c>
    </row>
    <row r="29" spans="1:8" ht="16" x14ac:dyDescent="0.2">
      <c r="A29" s="30">
        <v>28</v>
      </c>
      <c r="B29" s="12">
        <v>45074</v>
      </c>
      <c r="C29" s="13" t="s">
        <v>11</v>
      </c>
      <c r="D29" s="14">
        <v>1082</v>
      </c>
      <c r="E29" s="15">
        <f t="shared" si="0"/>
        <v>1619.7142857142858</v>
      </c>
      <c r="F29" s="25">
        <f>'S2-Estimated Seasonal Pattern'!$M$10</f>
        <v>-707.67346938775506</v>
      </c>
      <c r="G29" s="16">
        <f t="shared" si="1"/>
        <v>912.04081632653072</v>
      </c>
      <c r="H29" s="31">
        <f t="shared" si="2"/>
        <v>169.95918367346928</v>
      </c>
    </row>
    <row r="30" spans="1:8" ht="16" x14ac:dyDescent="0.2">
      <c r="A30" s="30">
        <v>29</v>
      </c>
      <c r="B30" s="12">
        <v>45075</v>
      </c>
      <c r="C30" s="13" t="s">
        <v>5</v>
      </c>
      <c r="D30" s="14">
        <v>1777</v>
      </c>
      <c r="E30" s="15">
        <f t="shared" si="0"/>
        <v>1615</v>
      </c>
      <c r="F30" s="25">
        <f>'S2-Estimated Seasonal Pattern'!$M$4</f>
        <v>429.83673469387759</v>
      </c>
      <c r="G30" s="16">
        <f t="shared" si="1"/>
        <v>2044.8367346938776</v>
      </c>
      <c r="H30" s="31">
        <f t="shared" si="2"/>
        <v>-267.83673469387759</v>
      </c>
    </row>
    <row r="31" spans="1:8" ht="16" x14ac:dyDescent="0.2">
      <c r="A31" s="30">
        <v>30</v>
      </c>
      <c r="B31" s="12">
        <v>45076</v>
      </c>
      <c r="C31" s="13" t="s">
        <v>6</v>
      </c>
      <c r="D31" s="14">
        <v>1766</v>
      </c>
      <c r="E31" s="15">
        <f t="shared" si="0"/>
        <v>1585.2857142857142</v>
      </c>
      <c r="F31" s="25">
        <f>'S2-Estimated Seasonal Pattern'!$M$5</f>
        <v>265.08163265306132</v>
      </c>
      <c r="G31" s="16">
        <f t="shared" si="1"/>
        <v>1850.3673469387754</v>
      </c>
      <c r="H31" s="31">
        <f t="shared" si="2"/>
        <v>-84.367346938775427</v>
      </c>
    </row>
    <row r="32" spans="1:8" ht="16" x14ac:dyDescent="0.2">
      <c r="A32" s="30">
        <v>31</v>
      </c>
      <c r="B32" s="12">
        <v>45077</v>
      </c>
      <c r="C32" s="13" t="s">
        <v>7</v>
      </c>
      <c r="D32" s="14">
        <v>1884</v>
      </c>
      <c r="E32" s="15">
        <f t="shared" si="0"/>
        <v>1544.1428571428571</v>
      </c>
      <c r="F32" s="25">
        <f>'S2-Estimated Seasonal Pattern'!$M$6</f>
        <v>458.57142857142856</v>
      </c>
      <c r="G32" s="16">
        <f t="shared" si="1"/>
        <v>2002.7142857142858</v>
      </c>
      <c r="H32" s="31">
        <f t="shared" si="2"/>
        <v>-118.71428571428578</v>
      </c>
    </row>
    <row r="33" spans="1:8" ht="16" x14ac:dyDescent="0.2">
      <c r="A33" s="30">
        <v>32</v>
      </c>
      <c r="B33" s="12">
        <v>45078</v>
      </c>
      <c r="C33" s="13" t="s">
        <v>8</v>
      </c>
      <c r="D33" s="14">
        <v>1780</v>
      </c>
      <c r="E33" s="15">
        <f t="shared" si="0"/>
        <v>1544.5714285714287</v>
      </c>
      <c r="F33" s="25">
        <f>'S2-Estimated Seasonal Pattern'!$M$7</f>
        <v>260.07142857142856</v>
      </c>
      <c r="G33" s="16">
        <f t="shared" si="1"/>
        <v>1804.6428571428573</v>
      </c>
      <c r="H33" s="31">
        <f t="shared" si="2"/>
        <v>-24.642857142857338</v>
      </c>
    </row>
    <row r="34" spans="1:8" ht="16" x14ac:dyDescent="0.2">
      <c r="A34" s="30">
        <v>33</v>
      </c>
      <c r="B34" s="12">
        <v>45079</v>
      </c>
      <c r="C34" s="13" t="s">
        <v>9</v>
      </c>
      <c r="D34" s="14">
        <v>1572</v>
      </c>
      <c r="E34" s="15">
        <f t="shared" si="0"/>
        <v>1707.4285714285713</v>
      </c>
      <c r="F34" s="25">
        <f>'S2-Estimated Seasonal Pattern'!$M$8</f>
        <v>-125.4081632653061</v>
      </c>
      <c r="G34" s="16">
        <f t="shared" si="1"/>
        <v>1582.0204081632653</v>
      </c>
      <c r="H34" s="31">
        <f t="shared" si="2"/>
        <v>-10.020408163265301</v>
      </c>
    </row>
    <row r="35" spans="1:8" ht="16" x14ac:dyDescent="0.2">
      <c r="A35" s="30">
        <v>34</v>
      </c>
      <c r="B35" s="12">
        <v>45080</v>
      </c>
      <c r="C35" s="13" t="s">
        <v>10</v>
      </c>
      <c r="D35" s="14">
        <v>948</v>
      </c>
      <c r="E35" s="15">
        <f t="shared" si="0"/>
        <v>1855.2857142857142</v>
      </c>
      <c r="F35" s="25">
        <f>'S2-Estimated Seasonal Pattern'!$M$9</f>
        <v>-628.65306122448976</v>
      </c>
      <c r="G35" s="16">
        <f t="shared" si="1"/>
        <v>1226.6326530612246</v>
      </c>
      <c r="H35" s="31">
        <f t="shared" si="2"/>
        <v>-278.63265306122457</v>
      </c>
    </row>
    <row r="36" spans="1:8" ht="16" x14ac:dyDescent="0.2">
      <c r="A36" s="30">
        <v>35</v>
      </c>
      <c r="B36" s="12">
        <v>45081</v>
      </c>
      <c r="C36" s="13" t="s">
        <v>11</v>
      </c>
      <c r="D36" s="14">
        <v>1085</v>
      </c>
      <c r="E36" s="15">
        <f t="shared" si="0"/>
        <v>2025.4285714285713</v>
      </c>
      <c r="F36" s="25">
        <f>'S2-Estimated Seasonal Pattern'!$M$10</f>
        <v>-707.67346938775506</v>
      </c>
      <c r="G36" s="16">
        <f t="shared" si="1"/>
        <v>1317.7551020408164</v>
      </c>
      <c r="H36" s="31">
        <f t="shared" si="2"/>
        <v>-232.75510204081638</v>
      </c>
    </row>
    <row r="37" spans="1:8" ht="16" x14ac:dyDescent="0.2">
      <c r="A37" s="30">
        <v>36</v>
      </c>
      <c r="B37" s="12">
        <v>45082</v>
      </c>
      <c r="C37" s="13" t="s">
        <v>5</v>
      </c>
      <c r="D37" s="14">
        <v>2917</v>
      </c>
      <c r="E37" s="15">
        <f t="shared" si="0"/>
        <v>2162.1428571428573</v>
      </c>
      <c r="F37" s="25">
        <f>'S2-Estimated Seasonal Pattern'!$M$4</f>
        <v>429.83673469387759</v>
      </c>
      <c r="G37" s="16">
        <f t="shared" si="1"/>
        <v>2591.9795918367349</v>
      </c>
      <c r="H37" s="31">
        <f t="shared" si="2"/>
        <v>325.02040816326507</v>
      </c>
    </row>
    <row r="38" spans="1:8" ht="16" x14ac:dyDescent="0.2">
      <c r="A38" s="30">
        <v>37</v>
      </c>
      <c r="B38" s="12">
        <v>45083</v>
      </c>
      <c r="C38" s="13" t="s">
        <v>6</v>
      </c>
      <c r="D38" s="14">
        <v>2801</v>
      </c>
      <c r="E38" s="15">
        <f t="shared" si="0"/>
        <v>2270.2857142857142</v>
      </c>
      <c r="F38" s="25">
        <f>'S2-Estimated Seasonal Pattern'!$M$5</f>
        <v>265.08163265306132</v>
      </c>
      <c r="G38" s="16">
        <f t="shared" si="1"/>
        <v>2535.3673469387754</v>
      </c>
      <c r="H38" s="31">
        <f t="shared" si="2"/>
        <v>265.63265306122457</v>
      </c>
    </row>
    <row r="39" spans="1:8" ht="16" x14ac:dyDescent="0.2">
      <c r="A39" s="30">
        <v>38</v>
      </c>
      <c r="B39" s="12">
        <v>45084</v>
      </c>
      <c r="C39" s="13" t="s">
        <v>7</v>
      </c>
      <c r="D39" s="14">
        <v>3075</v>
      </c>
      <c r="E39" s="15">
        <f t="shared" si="0"/>
        <v>2354.8571428571427</v>
      </c>
      <c r="F39" s="25">
        <f>'S2-Estimated Seasonal Pattern'!$M$6</f>
        <v>458.57142857142856</v>
      </c>
      <c r="G39" s="16">
        <f t="shared" si="1"/>
        <v>2813.4285714285711</v>
      </c>
      <c r="H39" s="31">
        <f t="shared" si="2"/>
        <v>261.5714285714289</v>
      </c>
    </row>
    <row r="40" spans="1:8" ht="16" x14ac:dyDescent="0.2">
      <c r="A40" s="30">
        <v>39</v>
      </c>
      <c r="B40" s="12">
        <v>45085</v>
      </c>
      <c r="C40" s="13" t="s">
        <v>8</v>
      </c>
      <c r="D40" s="14">
        <v>2737</v>
      </c>
      <c r="E40" s="15">
        <f t="shared" si="0"/>
        <v>2455.1428571428573</v>
      </c>
      <c r="F40" s="25">
        <f>'S2-Estimated Seasonal Pattern'!$M$7</f>
        <v>260.07142857142856</v>
      </c>
      <c r="G40" s="16">
        <f t="shared" si="1"/>
        <v>2715.2142857142858</v>
      </c>
      <c r="H40" s="31">
        <f t="shared" si="2"/>
        <v>21.785714285714221</v>
      </c>
    </row>
    <row r="41" spans="1:8" ht="16" x14ac:dyDescent="0.2">
      <c r="A41" s="30">
        <v>40</v>
      </c>
      <c r="B41" s="12">
        <v>45086</v>
      </c>
      <c r="C41" s="13" t="s">
        <v>9</v>
      </c>
      <c r="D41" s="14">
        <v>2329</v>
      </c>
      <c r="E41" s="15">
        <f t="shared" si="0"/>
        <v>2481.5714285714284</v>
      </c>
      <c r="F41" s="25">
        <f>'S2-Estimated Seasonal Pattern'!$M$8</f>
        <v>-125.4081632653061</v>
      </c>
      <c r="G41" s="16">
        <f t="shared" si="1"/>
        <v>2356.1632653061224</v>
      </c>
      <c r="H41" s="31">
        <f t="shared" si="2"/>
        <v>-27.163265306122412</v>
      </c>
    </row>
    <row r="42" spans="1:8" ht="16" x14ac:dyDescent="0.2">
      <c r="A42" s="30">
        <v>41</v>
      </c>
      <c r="B42" s="12">
        <v>45087</v>
      </c>
      <c r="C42" s="13" t="s">
        <v>10</v>
      </c>
      <c r="D42" s="14">
        <v>1540</v>
      </c>
      <c r="E42" s="15">
        <f t="shared" si="0"/>
        <v>2424.7142857142858</v>
      </c>
      <c r="F42" s="25">
        <f>'S2-Estimated Seasonal Pattern'!$M$9</f>
        <v>-628.65306122448976</v>
      </c>
      <c r="G42" s="16">
        <f t="shared" si="1"/>
        <v>1796.0612244897961</v>
      </c>
      <c r="H42" s="31">
        <f t="shared" si="2"/>
        <v>-256.06122448979613</v>
      </c>
    </row>
    <row r="43" spans="1:8" ht="16" x14ac:dyDescent="0.2">
      <c r="A43" s="30">
        <v>42</v>
      </c>
      <c r="B43" s="12">
        <v>45088</v>
      </c>
      <c r="C43" s="13" t="s">
        <v>11</v>
      </c>
      <c r="D43" s="14">
        <v>1787</v>
      </c>
      <c r="E43" s="15">
        <f t="shared" si="0"/>
        <v>2403.5714285714284</v>
      </c>
      <c r="F43" s="25">
        <f>'S2-Estimated Seasonal Pattern'!$M$10</f>
        <v>-707.67346938775506</v>
      </c>
      <c r="G43" s="16">
        <f t="shared" si="1"/>
        <v>1695.8979591836733</v>
      </c>
      <c r="H43" s="31">
        <f t="shared" si="2"/>
        <v>91.102040816326735</v>
      </c>
    </row>
    <row r="44" spans="1:8" ht="16" x14ac:dyDescent="0.2">
      <c r="A44" s="30">
        <v>43</v>
      </c>
      <c r="B44" s="12">
        <v>45089</v>
      </c>
      <c r="C44" s="13" t="s">
        <v>5</v>
      </c>
      <c r="D44" s="14">
        <v>3102</v>
      </c>
      <c r="E44" s="15">
        <f t="shared" si="0"/>
        <v>2471.5714285714284</v>
      </c>
      <c r="F44" s="25">
        <f>'S2-Estimated Seasonal Pattern'!$M$4</f>
        <v>429.83673469387759</v>
      </c>
      <c r="G44" s="16">
        <f t="shared" si="1"/>
        <v>2901.408163265306</v>
      </c>
      <c r="H44" s="31">
        <f t="shared" si="2"/>
        <v>200.59183673469397</v>
      </c>
    </row>
    <row r="45" spans="1:8" ht="16" x14ac:dyDescent="0.2">
      <c r="A45" s="30">
        <v>44</v>
      </c>
      <c r="B45" s="12">
        <v>45090</v>
      </c>
      <c r="C45" s="13" t="s">
        <v>6</v>
      </c>
      <c r="D45" s="14">
        <v>2403</v>
      </c>
      <c r="E45" s="15">
        <f t="shared" si="0"/>
        <v>2452.2857142857142</v>
      </c>
      <c r="F45" s="25">
        <f>'S2-Estimated Seasonal Pattern'!$M$5</f>
        <v>265.08163265306132</v>
      </c>
      <c r="G45" s="16">
        <f t="shared" si="1"/>
        <v>2717.3673469387754</v>
      </c>
      <c r="H45" s="31">
        <f t="shared" si="2"/>
        <v>-314.36734693877543</v>
      </c>
    </row>
    <row r="46" spans="1:8" ht="16" x14ac:dyDescent="0.2">
      <c r="A46" s="30">
        <v>45</v>
      </c>
      <c r="B46" s="12">
        <v>45091</v>
      </c>
      <c r="C46" s="13" t="s">
        <v>7</v>
      </c>
      <c r="D46" s="14">
        <v>2927</v>
      </c>
      <c r="E46" s="15">
        <f t="shared" si="0"/>
        <v>2486.5714285714284</v>
      </c>
      <c r="F46" s="25">
        <f>'S2-Estimated Seasonal Pattern'!$M$6</f>
        <v>458.57142857142856</v>
      </c>
      <c r="G46" s="16">
        <f t="shared" si="1"/>
        <v>2945.1428571428569</v>
      </c>
      <c r="H46" s="31">
        <f t="shared" si="2"/>
        <v>-18.142857142856883</v>
      </c>
    </row>
    <row r="47" spans="1:8" ht="16" x14ac:dyDescent="0.2">
      <c r="A47" s="30">
        <v>46</v>
      </c>
      <c r="B47" s="12">
        <v>45092</v>
      </c>
      <c r="C47" s="13" t="s">
        <v>8</v>
      </c>
      <c r="D47" s="14">
        <v>3213</v>
      </c>
      <c r="E47" s="15">
        <f t="shared" si="0"/>
        <v>2432.4285714285716</v>
      </c>
      <c r="F47" s="25">
        <f>'S2-Estimated Seasonal Pattern'!$M$7</f>
        <v>260.07142857142856</v>
      </c>
      <c r="G47" s="16">
        <f t="shared" si="1"/>
        <v>2692.5</v>
      </c>
      <c r="H47" s="31">
        <f t="shared" si="2"/>
        <v>520.5</v>
      </c>
    </row>
    <row r="48" spans="1:8" ht="16" x14ac:dyDescent="0.2">
      <c r="A48" s="30">
        <v>47</v>
      </c>
      <c r="B48" s="12">
        <v>45093</v>
      </c>
      <c r="C48" s="13" t="s">
        <v>9</v>
      </c>
      <c r="D48" s="14">
        <v>2194</v>
      </c>
      <c r="E48" s="15">
        <f t="shared" si="0"/>
        <v>2406.4285714285716</v>
      </c>
      <c r="F48" s="25">
        <f>'S2-Estimated Seasonal Pattern'!$M$8</f>
        <v>-125.4081632653061</v>
      </c>
      <c r="G48" s="16">
        <f t="shared" si="1"/>
        <v>2281.0204081632655</v>
      </c>
      <c r="H48" s="31">
        <f t="shared" si="2"/>
        <v>-87.020408163265529</v>
      </c>
    </row>
    <row r="49" spans="1:8" ht="16" x14ac:dyDescent="0.2">
      <c r="A49" s="30">
        <v>48</v>
      </c>
      <c r="B49" s="12">
        <v>45094</v>
      </c>
      <c r="C49" s="13" t="s">
        <v>10</v>
      </c>
      <c r="D49" s="14">
        <v>1780</v>
      </c>
      <c r="E49" s="15">
        <f t="shared" si="0"/>
        <v>2441.2857142857142</v>
      </c>
      <c r="F49" s="25">
        <f>'S2-Estimated Seasonal Pattern'!$M$9</f>
        <v>-628.65306122448976</v>
      </c>
      <c r="G49" s="16">
        <f t="shared" si="1"/>
        <v>1812.6326530612246</v>
      </c>
      <c r="H49" s="31">
        <f t="shared" si="2"/>
        <v>-32.632653061224573</v>
      </c>
    </row>
    <row r="50" spans="1:8" ht="16" x14ac:dyDescent="0.2">
      <c r="A50" s="30">
        <v>49</v>
      </c>
      <c r="B50" s="12">
        <v>45095</v>
      </c>
      <c r="C50" s="13" t="s">
        <v>11</v>
      </c>
      <c r="D50" s="14">
        <v>1408</v>
      </c>
      <c r="E50" s="15">
        <f t="shared" si="0"/>
        <v>2454.5714285714284</v>
      </c>
      <c r="F50" s="25">
        <f>'S2-Estimated Seasonal Pattern'!$M$10</f>
        <v>-707.67346938775506</v>
      </c>
      <c r="G50" s="16">
        <f t="shared" si="1"/>
        <v>1746.8979591836733</v>
      </c>
      <c r="H50" s="31">
        <f t="shared" si="2"/>
        <v>-338.89795918367327</v>
      </c>
    </row>
    <row r="51" spans="1:8" ht="16" x14ac:dyDescent="0.2">
      <c r="A51" s="30">
        <v>50</v>
      </c>
      <c r="B51" s="12">
        <v>45096</v>
      </c>
      <c r="C51" s="13" t="s">
        <v>5</v>
      </c>
      <c r="D51" s="14">
        <v>2920</v>
      </c>
      <c r="E51" s="15">
        <f t="shared" si="0"/>
        <v>2329.5714285714284</v>
      </c>
      <c r="F51" s="25">
        <f>'S2-Estimated Seasonal Pattern'!$M$4</f>
        <v>429.83673469387759</v>
      </c>
      <c r="G51" s="16">
        <f t="shared" si="1"/>
        <v>2759.408163265306</v>
      </c>
      <c r="H51" s="31">
        <f t="shared" si="2"/>
        <v>160.59183673469397</v>
      </c>
    </row>
    <row r="52" spans="1:8" ht="16" x14ac:dyDescent="0.2">
      <c r="A52" s="30">
        <v>51</v>
      </c>
      <c r="B52" s="12">
        <v>45097</v>
      </c>
      <c r="C52" s="13" t="s">
        <v>6</v>
      </c>
      <c r="D52" s="14">
        <v>2647</v>
      </c>
      <c r="E52" s="15">
        <f t="shared" si="0"/>
        <v>2437.5714285714284</v>
      </c>
      <c r="F52" s="25">
        <f>'S2-Estimated Seasonal Pattern'!$M$5</f>
        <v>265.08163265306132</v>
      </c>
      <c r="G52" s="16">
        <f t="shared" si="1"/>
        <v>2702.6530612244896</v>
      </c>
      <c r="H52" s="31">
        <f t="shared" si="2"/>
        <v>-55.653061224489647</v>
      </c>
    </row>
    <row r="53" spans="1:8" ht="16" x14ac:dyDescent="0.2">
      <c r="A53" s="30">
        <v>52</v>
      </c>
      <c r="B53" s="12">
        <v>45098</v>
      </c>
      <c r="C53" s="13" t="s">
        <v>7</v>
      </c>
      <c r="D53" s="14">
        <v>3020</v>
      </c>
      <c r="E53" s="15">
        <f t="shared" si="0"/>
        <v>2412</v>
      </c>
      <c r="F53" s="25">
        <f>'S2-Estimated Seasonal Pattern'!$M$6</f>
        <v>458.57142857142856</v>
      </c>
      <c r="G53" s="16">
        <f t="shared" si="1"/>
        <v>2870.5714285714284</v>
      </c>
      <c r="H53" s="31">
        <f t="shared" si="2"/>
        <v>149.42857142857156</v>
      </c>
    </row>
    <row r="54" spans="1:8" ht="16" x14ac:dyDescent="0.2">
      <c r="A54" s="30">
        <v>53</v>
      </c>
      <c r="B54" s="12">
        <v>45099</v>
      </c>
      <c r="C54" s="13" t="s">
        <v>8</v>
      </c>
      <c r="D54" s="14">
        <v>2338</v>
      </c>
      <c r="E54" s="15">
        <f t="shared" si="0"/>
        <v>2441.5714285714284</v>
      </c>
      <c r="F54" s="25">
        <f>'S2-Estimated Seasonal Pattern'!$M$7</f>
        <v>260.07142857142856</v>
      </c>
      <c r="G54" s="16">
        <f t="shared" si="1"/>
        <v>2701.6428571428569</v>
      </c>
      <c r="H54" s="31">
        <f t="shared" si="2"/>
        <v>-363.64285714285688</v>
      </c>
    </row>
    <row r="55" spans="1:8" ht="16" x14ac:dyDescent="0.2">
      <c r="A55" s="30">
        <v>54</v>
      </c>
      <c r="B55" s="12">
        <v>45100</v>
      </c>
      <c r="C55" s="13" t="s">
        <v>9</v>
      </c>
      <c r="D55" s="14">
        <v>2950</v>
      </c>
      <c r="E55" s="15"/>
      <c r="F55" s="25"/>
      <c r="G55" s="16"/>
      <c r="H55" s="31"/>
    </row>
    <row r="56" spans="1:8" ht="16" x14ac:dyDescent="0.2">
      <c r="A56" s="30">
        <v>55</v>
      </c>
      <c r="B56" s="12">
        <v>45101</v>
      </c>
      <c r="C56" s="13" t="s">
        <v>10</v>
      </c>
      <c r="D56" s="14">
        <v>1601</v>
      </c>
      <c r="E56" s="15"/>
      <c r="F56" s="25"/>
      <c r="G56" s="16"/>
      <c r="H56" s="31"/>
    </row>
    <row r="57" spans="1:8" ht="17" thickBot="1" x14ac:dyDescent="0.25">
      <c r="A57" s="32">
        <v>56</v>
      </c>
      <c r="B57" s="39">
        <v>45102</v>
      </c>
      <c r="C57" s="21" t="s">
        <v>11</v>
      </c>
      <c r="D57" s="22">
        <v>1615</v>
      </c>
      <c r="E57" s="23"/>
      <c r="F57" s="40"/>
      <c r="G57" s="58"/>
      <c r="H57" s="3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1417-5195-4441-8340-B69AAF7E469D}">
  <sheetPr>
    <tabColor theme="4" tint="0.59999389629810485"/>
  </sheetPr>
  <dimension ref="A1:H57"/>
  <sheetViews>
    <sheetView zoomScale="70" zoomScaleNormal="70" workbookViewId="0">
      <selection activeCell="AC23" sqref="AC23"/>
    </sheetView>
  </sheetViews>
  <sheetFormatPr baseColWidth="10" defaultRowHeight="15" x14ac:dyDescent="0.2"/>
  <cols>
    <col min="1" max="6" width="10.83203125" style="4"/>
    <col min="8" max="8" width="12.5" customWidth="1"/>
  </cols>
  <sheetData>
    <row r="1" spans="1:8" ht="52" thickBot="1" x14ac:dyDescent="0.25">
      <c r="A1" s="47" t="s">
        <v>14</v>
      </c>
      <c r="B1" s="38" t="s">
        <v>1</v>
      </c>
      <c r="C1" s="38" t="s">
        <v>4</v>
      </c>
      <c r="D1" s="38" t="s">
        <v>2</v>
      </c>
      <c r="E1" s="38" t="s">
        <v>12</v>
      </c>
      <c r="F1" s="38" t="s">
        <v>27</v>
      </c>
      <c r="G1" s="38" t="s">
        <v>29</v>
      </c>
      <c r="H1" s="48" t="s">
        <v>30</v>
      </c>
    </row>
    <row r="2" spans="1:8" ht="16" x14ac:dyDescent="0.2">
      <c r="A2" s="30">
        <v>1</v>
      </c>
      <c r="B2" s="12">
        <v>45047</v>
      </c>
      <c r="C2" s="13" t="s">
        <v>5</v>
      </c>
      <c r="D2" s="14">
        <v>1576</v>
      </c>
      <c r="E2" s="13"/>
      <c r="F2" s="25"/>
      <c r="G2" s="28"/>
      <c r="H2" s="60"/>
    </row>
    <row r="3" spans="1:8" ht="16" x14ac:dyDescent="0.2">
      <c r="A3" s="30">
        <v>2</v>
      </c>
      <c r="B3" s="12">
        <v>45048</v>
      </c>
      <c r="C3" s="13" t="s">
        <v>6</v>
      </c>
      <c r="D3" s="14">
        <v>2299</v>
      </c>
      <c r="E3" s="13"/>
      <c r="F3" s="25"/>
      <c r="G3" s="28"/>
      <c r="H3" s="60"/>
    </row>
    <row r="4" spans="1:8" ht="16" x14ac:dyDescent="0.2">
      <c r="A4" s="30">
        <v>3</v>
      </c>
      <c r="B4" s="12">
        <v>45049</v>
      </c>
      <c r="C4" s="13" t="s">
        <v>7</v>
      </c>
      <c r="D4" s="14">
        <v>1878</v>
      </c>
      <c r="E4" s="13"/>
      <c r="F4" s="25"/>
      <c r="G4" s="28"/>
      <c r="H4" s="60"/>
    </row>
    <row r="5" spans="1:8" ht="16" x14ac:dyDescent="0.2">
      <c r="A5" s="30">
        <v>4</v>
      </c>
      <c r="B5" s="12">
        <v>45050</v>
      </c>
      <c r="C5" s="13" t="s">
        <v>8</v>
      </c>
      <c r="D5" s="14">
        <v>1628</v>
      </c>
      <c r="E5" s="15">
        <f>AVERAGE(D2:D8)</f>
        <v>1577.1428571428571</v>
      </c>
      <c r="F5" s="25">
        <f>'S2-Estimated Seasonal Pattern'!$M$7</f>
        <v>260.07142857142856</v>
      </c>
      <c r="G5" s="59">
        <f>'S2-Noise and Irregularities'!H5</f>
        <v>-209.21428571428578</v>
      </c>
      <c r="H5" s="61">
        <f>SUM(E5:G5)</f>
        <v>1628</v>
      </c>
    </row>
    <row r="6" spans="1:8" ht="16" x14ac:dyDescent="0.2">
      <c r="A6" s="30">
        <v>5</v>
      </c>
      <c r="B6" s="12">
        <v>45051</v>
      </c>
      <c r="C6" s="13" t="s">
        <v>9</v>
      </c>
      <c r="D6" s="14">
        <v>1555</v>
      </c>
      <c r="E6" s="15">
        <f t="shared" ref="E6:E54" si="0">AVERAGE(D3:D9)</f>
        <v>1620.8571428571429</v>
      </c>
      <c r="F6" s="25">
        <f>'S2-Estimated Seasonal Pattern'!$M$8</f>
        <v>-125.4081632653061</v>
      </c>
      <c r="G6" s="59">
        <f>'S2-Noise and Irregularities'!H6</f>
        <v>59.55102040816314</v>
      </c>
      <c r="H6" s="61">
        <f t="shared" ref="H6:H54" si="1">SUM(E6:G6)</f>
        <v>1555</v>
      </c>
    </row>
    <row r="7" spans="1:8" ht="16" x14ac:dyDescent="0.2">
      <c r="A7" s="30">
        <v>6</v>
      </c>
      <c r="B7" s="12">
        <v>45052</v>
      </c>
      <c r="C7" s="13" t="s">
        <v>10</v>
      </c>
      <c r="D7" s="14">
        <v>1240</v>
      </c>
      <c r="E7" s="15">
        <f t="shared" si="0"/>
        <v>1621.8571428571429</v>
      </c>
      <c r="F7" s="25">
        <f>'S2-Estimated Seasonal Pattern'!$M$9</f>
        <v>-628.65306122448976</v>
      </c>
      <c r="G7" s="59">
        <f>'S2-Noise and Irregularities'!H7</f>
        <v>246.79591836734687</v>
      </c>
      <c r="H7" s="61">
        <f t="shared" si="1"/>
        <v>1240</v>
      </c>
    </row>
    <row r="8" spans="1:8" ht="16" x14ac:dyDescent="0.2">
      <c r="A8" s="30">
        <v>7</v>
      </c>
      <c r="B8" s="12">
        <v>45053</v>
      </c>
      <c r="C8" s="13" t="s">
        <v>11</v>
      </c>
      <c r="D8" s="14">
        <v>864</v>
      </c>
      <c r="E8" s="15">
        <f t="shared" si="0"/>
        <v>1637.5714285714287</v>
      </c>
      <c r="F8" s="25">
        <f>'S2-Estimated Seasonal Pattern'!$M$10</f>
        <v>-707.67346938775506</v>
      </c>
      <c r="G8" s="59">
        <f>'S2-Noise and Irregularities'!H8</f>
        <v>-65.897959183673606</v>
      </c>
      <c r="H8" s="61">
        <f t="shared" si="1"/>
        <v>864</v>
      </c>
    </row>
    <row r="9" spans="1:8" ht="16" x14ac:dyDescent="0.2">
      <c r="A9" s="30">
        <v>8</v>
      </c>
      <c r="B9" s="12">
        <v>45054</v>
      </c>
      <c r="C9" s="13" t="s">
        <v>5</v>
      </c>
      <c r="D9" s="14">
        <v>1882</v>
      </c>
      <c r="E9" s="15">
        <f t="shared" si="0"/>
        <v>1674.4285714285713</v>
      </c>
      <c r="F9" s="25">
        <f>'S2-Estimated Seasonal Pattern'!$M$4</f>
        <v>429.83673469387759</v>
      </c>
      <c r="G9" s="59">
        <f>'S2-Noise and Irregularities'!H9</f>
        <v>-222.26530612244915</v>
      </c>
      <c r="H9" s="61">
        <f t="shared" si="1"/>
        <v>1882</v>
      </c>
    </row>
    <row r="10" spans="1:8" ht="16" x14ac:dyDescent="0.2">
      <c r="A10" s="30">
        <v>9</v>
      </c>
      <c r="B10" s="12">
        <v>45055</v>
      </c>
      <c r="C10" s="13" t="s">
        <v>6</v>
      </c>
      <c r="D10" s="14">
        <v>2306</v>
      </c>
      <c r="E10" s="15">
        <f t="shared" si="0"/>
        <v>1647.2857142857142</v>
      </c>
      <c r="F10" s="25">
        <f>'S2-Estimated Seasonal Pattern'!$M$5</f>
        <v>265.08163265306132</v>
      </c>
      <c r="G10" s="59">
        <f>'S2-Noise and Irregularities'!H10</f>
        <v>393.63265306122457</v>
      </c>
      <c r="H10" s="61">
        <f t="shared" si="1"/>
        <v>2306</v>
      </c>
    </row>
    <row r="11" spans="1:8" ht="16" x14ac:dyDescent="0.2">
      <c r="A11" s="30">
        <v>10</v>
      </c>
      <c r="B11" s="12">
        <v>45056</v>
      </c>
      <c r="C11" s="13" t="s">
        <v>7</v>
      </c>
      <c r="D11" s="14">
        <v>1988</v>
      </c>
      <c r="E11" s="15">
        <f t="shared" si="0"/>
        <v>1612.7142857142858</v>
      </c>
      <c r="F11" s="25">
        <f>'S2-Estimated Seasonal Pattern'!$M$6</f>
        <v>458.57142857142856</v>
      </c>
      <c r="G11" s="59">
        <f>'S2-Noise and Irregularities'!H11</f>
        <v>-83.285714285714221</v>
      </c>
      <c r="H11" s="61">
        <f t="shared" si="1"/>
        <v>1988</v>
      </c>
    </row>
    <row r="12" spans="1:8" ht="16" x14ac:dyDescent="0.2">
      <c r="A12" s="30">
        <v>11</v>
      </c>
      <c r="B12" s="12">
        <v>45057</v>
      </c>
      <c r="C12" s="13" t="s">
        <v>8</v>
      </c>
      <c r="D12" s="14">
        <v>1886</v>
      </c>
      <c r="E12" s="15">
        <f t="shared" si="0"/>
        <v>1639.5714285714287</v>
      </c>
      <c r="F12" s="25">
        <f>'S2-Estimated Seasonal Pattern'!$M$7</f>
        <v>260.07142857142856</v>
      </c>
      <c r="G12" s="59">
        <f>'S2-Noise and Irregularities'!H12</f>
        <v>-13.642857142857338</v>
      </c>
      <c r="H12" s="61">
        <f t="shared" si="1"/>
        <v>1886</v>
      </c>
    </row>
    <row r="13" spans="1:8" ht="16" x14ac:dyDescent="0.2">
      <c r="A13" s="30">
        <v>12</v>
      </c>
      <c r="B13" s="12">
        <v>45058</v>
      </c>
      <c r="C13" s="13" t="s">
        <v>9</v>
      </c>
      <c r="D13" s="14">
        <v>1365</v>
      </c>
      <c r="E13" s="15">
        <f t="shared" si="0"/>
        <v>1642.8571428571429</v>
      </c>
      <c r="F13" s="25">
        <f>'S2-Estimated Seasonal Pattern'!$M$8</f>
        <v>-125.4081632653061</v>
      </c>
      <c r="G13" s="59">
        <f>'S2-Noise and Irregularities'!H13</f>
        <v>-152.44897959183686</v>
      </c>
      <c r="H13" s="61">
        <f t="shared" si="1"/>
        <v>1365</v>
      </c>
    </row>
    <row r="14" spans="1:8" ht="16" x14ac:dyDescent="0.2">
      <c r="A14" s="30">
        <v>13</v>
      </c>
      <c r="B14" s="12">
        <v>45059</v>
      </c>
      <c r="C14" s="13" t="s">
        <v>10</v>
      </c>
      <c r="D14" s="14">
        <v>998</v>
      </c>
      <c r="E14" s="15">
        <f t="shared" si="0"/>
        <v>1565.8571428571429</v>
      </c>
      <c r="F14" s="25">
        <f>'S2-Estimated Seasonal Pattern'!$M$9</f>
        <v>-628.65306122448976</v>
      </c>
      <c r="G14" s="59">
        <f>'S2-Noise and Irregularities'!H14</f>
        <v>60.795918367346871</v>
      </c>
      <c r="H14" s="61">
        <f t="shared" si="1"/>
        <v>998</v>
      </c>
    </row>
    <row r="15" spans="1:8" ht="16" x14ac:dyDescent="0.2">
      <c r="A15" s="30">
        <v>14</v>
      </c>
      <c r="B15" s="12">
        <v>45060</v>
      </c>
      <c r="C15" s="13" t="s">
        <v>11</v>
      </c>
      <c r="D15" s="14">
        <v>1052</v>
      </c>
      <c r="E15" s="15">
        <f t="shared" si="0"/>
        <v>1554.8571428571429</v>
      </c>
      <c r="F15" s="25">
        <f>'S2-Estimated Seasonal Pattern'!$M$10</f>
        <v>-707.67346938775506</v>
      </c>
      <c r="G15" s="59">
        <f>'S2-Noise and Irregularities'!H15</f>
        <v>204.81632653061217</v>
      </c>
      <c r="H15" s="61">
        <f t="shared" si="1"/>
        <v>1052</v>
      </c>
    </row>
    <row r="16" spans="1:8" ht="16" x14ac:dyDescent="0.2">
      <c r="A16" s="30">
        <v>15</v>
      </c>
      <c r="B16" s="12">
        <v>45061</v>
      </c>
      <c r="C16" s="13" t="s">
        <v>5</v>
      </c>
      <c r="D16" s="14">
        <v>1905</v>
      </c>
      <c r="E16" s="15">
        <f t="shared" si="0"/>
        <v>1576.2857142857142</v>
      </c>
      <c r="F16" s="25">
        <f>'S2-Estimated Seasonal Pattern'!$M$4</f>
        <v>429.83673469387759</v>
      </c>
      <c r="G16" s="59">
        <f>'S2-Noise and Irregularities'!H16</f>
        <v>-101.12244897959181</v>
      </c>
      <c r="H16" s="61">
        <f t="shared" si="1"/>
        <v>1905</v>
      </c>
    </row>
    <row r="17" spans="1:8" ht="16" x14ac:dyDescent="0.2">
      <c r="A17" s="30">
        <v>16</v>
      </c>
      <c r="B17" s="12">
        <v>45062</v>
      </c>
      <c r="C17" s="13" t="s">
        <v>6</v>
      </c>
      <c r="D17" s="14">
        <v>1767</v>
      </c>
      <c r="E17" s="15">
        <f t="shared" si="0"/>
        <v>1585.2857142857142</v>
      </c>
      <c r="F17" s="25">
        <f>'S2-Estimated Seasonal Pattern'!$M$5</f>
        <v>265.08163265306132</v>
      </c>
      <c r="G17" s="59">
        <f>'S2-Noise and Irregularities'!H17</f>
        <v>-83.367346938775427</v>
      </c>
      <c r="H17" s="61">
        <f t="shared" si="1"/>
        <v>1767</v>
      </c>
    </row>
    <row r="18" spans="1:8" ht="16" x14ac:dyDescent="0.2">
      <c r="A18" s="30">
        <v>17</v>
      </c>
      <c r="B18" s="12">
        <v>45063</v>
      </c>
      <c r="C18" s="13" t="s">
        <v>7</v>
      </c>
      <c r="D18" s="14">
        <v>1911</v>
      </c>
      <c r="E18" s="15">
        <f t="shared" si="0"/>
        <v>1586.7142857142858</v>
      </c>
      <c r="F18" s="25">
        <f>'S2-Estimated Seasonal Pattern'!$M$6</f>
        <v>458.57142857142856</v>
      </c>
      <c r="G18" s="59">
        <f>'S2-Noise and Irregularities'!H18</f>
        <v>-134.28571428571422</v>
      </c>
      <c r="H18" s="61">
        <f t="shared" si="1"/>
        <v>1911</v>
      </c>
    </row>
    <row r="19" spans="1:8" ht="16" x14ac:dyDescent="0.2">
      <c r="A19" s="30">
        <v>18</v>
      </c>
      <c r="B19" s="12">
        <v>45064</v>
      </c>
      <c r="C19" s="13" t="s">
        <v>8</v>
      </c>
      <c r="D19" s="14">
        <v>2036</v>
      </c>
      <c r="E19" s="15">
        <f t="shared" si="0"/>
        <v>1591</v>
      </c>
      <c r="F19" s="25">
        <f>'S2-Estimated Seasonal Pattern'!$M$7</f>
        <v>260.07142857142856</v>
      </c>
      <c r="G19" s="59">
        <f>'S2-Noise and Irregularities'!H19</f>
        <v>184.92857142857156</v>
      </c>
      <c r="H19" s="61">
        <f t="shared" si="1"/>
        <v>2036</v>
      </c>
    </row>
    <row r="20" spans="1:8" ht="16" x14ac:dyDescent="0.2">
      <c r="A20" s="30">
        <v>19</v>
      </c>
      <c r="B20" s="12">
        <v>45065</v>
      </c>
      <c r="C20" s="13" t="s">
        <v>9</v>
      </c>
      <c r="D20" s="14">
        <v>1428</v>
      </c>
      <c r="E20" s="15">
        <f t="shared" si="0"/>
        <v>1593.2857142857142</v>
      </c>
      <c r="F20" s="25">
        <f>'S2-Estimated Seasonal Pattern'!$M$8</f>
        <v>-125.4081632653061</v>
      </c>
      <c r="G20" s="59">
        <f>'S2-Noise and Irregularities'!H20</f>
        <v>-39.877551020408191</v>
      </c>
      <c r="H20" s="61">
        <f t="shared" si="1"/>
        <v>1428</v>
      </c>
    </row>
    <row r="21" spans="1:8" ht="16" x14ac:dyDescent="0.2">
      <c r="A21" s="30">
        <v>20</v>
      </c>
      <c r="B21" s="12">
        <v>45066</v>
      </c>
      <c r="C21" s="13" t="s">
        <v>10</v>
      </c>
      <c r="D21" s="14">
        <v>1008</v>
      </c>
      <c r="E21" s="15">
        <f t="shared" si="0"/>
        <v>1595.1428571428571</v>
      </c>
      <c r="F21" s="25">
        <f>'S2-Estimated Seasonal Pattern'!$M$9</f>
        <v>-628.65306122448976</v>
      </c>
      <c r="G21" s="59">
        <f>'S2-Noise and Irregularities'!H21</f>
        <v>41.510204081632651</v>
      </c>
      <c r="H21" s="61">
        <f t="shared" si="1"/>
        <v>1008</v>
      </c>
    </row>
    <row r="22" spans="1:8" ht="16" x14ac:dyDescent="0.2">
      <c r="A22" s="30">
        <v>21</v>
      </c>
      <c r="B22" s="12">
        <v>45067</v>
      </c>
      <c r="C22" s="13" t="s">
        <v>11</v>
      </c>
      <c r="D22" s="14">
        <v>1082</v>
      </c>
      <c r="E22" s="15">
        <f t="shared" si="0"/>
        <v>1618</v>
      </c>
      <c r="F22" s="25">
        <f>'S2-Estimated Seasonal Pattern'!$M$10</f>
        <v>-707.67346938775506</v>
      </c>
      <c r="G22" s="59">
        <f>'S2-Noise and Irregularities'!H22</f>
        <v>171.67346938775506</v>
      </c>
      <c r="H22" s="61">
        <f t="shared" si="1"/>
        <v>1082</v>
      </c>
    </row>
    <row r="23" spans="1:8" ht="16" x14ac:dyDescent="0.2">
      <c r="A23" s="30">
        <v>22</v>
      </c>
      <c r="B23" s="12">
        <v>45068</v>
      </c>
      <c r="C23" s="13" t="s">
        <v>5</v>
      </c>
      <c r="D23" s="14">
        <v>1921</v>
      </c>
      <c r="E23" s="15">
        <f t="shared" si="0"/>
        <v>1586.1428571428571</v>
      </c>
      <c r="F23" s="25">
        <f>'S2-Estimated Seasonal Pattern'!$M$4</f>
        <v>429.83673469387759</v>
      </c>
      <c r="G23" s="59">
        <f>'S2-Noise and Irregularities'!H23</f>
        <v>-94.979591836734699</v>
      </c>
      <c r="H23" s="61">
        <f t="shared" si="1"/>
        <v>1921</v>
      </c>
    </row>
    <row r="24" spans="1:8" ht="16" x14ac:dyDescent="0.2">
      <c r="A24" s="30">
        <v>23</v>
      </c>
      <c r="B24" s="12">
        <v>45069</v>
      </c>
      <c r="C24" s="13" t="s">
        <v>6</v>
      </c>
      <c r="D24" s="14">
        <v>1780</v>
      </c>
      <c r="E24" s="15">
        <f t="shared" si="0"/>
        <v>1636.4285714285713</v>
      </c>
      <c r="F24" s="25">
        <f>'S2-Estimated Seasonal Pattern'!$M$5</f>
        <v>265.08163265306132</v>
      </c>
      <c r="G24" s="59">
        <f>'S2-Noise and Irregularities'!H24</f>
        <v>-121.51020408163276</v>
      </c>
      <c r="H24" s="61">
        <f t="shared" si="1"/>
        <v>1780</v>
      </c>
    </row>
    <row r="25" spans="1:8" ht="16" x14ac:dyDescent="0.2">
      <c r="A25" s="30">
        <v>24</v>
      </c>
      <c r="B25" s="12">
        <v>45070</v>
      </c>
      <c r="C25" s="13" t="s">
        <v>7</v>
      </c>
      <c r="D25" s="14">
        <v>2071</v>
      </c>
      <c r="E25" s="15">
        <f t="shared" si="0"/>
        <v>1669</v>
      </c>
      <c r="F25" s="25">
        <f>'S2-Estimated Seasonal Pattern'!$M$6</f>
        <v>458.57142857142856</v>
      </c>
      <c r="G25" s="59">
        <f>'S2-Noise and Irregularities'!H25</f>
        <v>-56.571428571428442</v>
      </c>
      <c r="H25" s="61">
        <f t="shared" si="1"/>
        <v>2071</v>
      </c>
    </row>
    <row r="26" spans="1:8" ht="16" x14ac:dyDescent="0.2">
      <c r="A26" s="30">
        <v>25</v>
      </c>
      <c r="B26" s="12">
        <v>45071</v>
      </c>
      <c r="C26" s="13" t="s">
        <v>8</v>
      </c>
      <c r="D26" s="14">
        <v>1813</v>
      </c>
      <c r="E26" s="15">
        <f t="shared" si="0"/>
        <v>1669</v>
      </c>
      <c r="F26" s="25">
        <f>'S2-Estimated Seasonal Pattern'!$M$7</f>
        <v>260.07142857142856</v>
      </c>
      <c r="G26" s="59">
        <f>'S2-Noise and Irregularities'!H26</f>
        <v>-116.07142857142844</v>
      </c>
      <c r="H26" s="61">
        <f t="shared" si="1"/>
        <v>1813</v>
      </c>
    </row>
    <row r="27" spans="1:8" ht="16" x14ac:dyDescent="0.2">
      <c r="A27" s="30">
        <v>26</v>
      </c>
      <c r="B27" s="12">
        <v>45072</v>
      </c>
      <c r="C27" s="13" t="s">
        <v>9</v>
      </c>
      <c r="D27" s="14">
        <v>1780</v>
      </c>
      <c r="E27" s="15">
        <f t="shared" si="0"/>
        <v>1648.4285714285713</v>
      </c>
      <c r="F27" s="25">
        <f>'S2-Estimated Seasonal Pattern'!$M$8</f>
        <v>-125.4081632653061</v>
      </c>
      <c r="G27" s="59">
        <f>'S2-Noise and Irregularities'!H27</f>
        <v>256.9795918367347</v>
      </c>
      <c r="H27" s="61">
        <f t="shared" si="1"/>
        <v>1780</v>
      </c>
    </row>
    <row r="28" spans="1:8" ht="16" x14ac:dyDescent="0.2">
      <c r="A28" s="30">
        <v>27</v>
      </c>
      <c r="B28" s="12">
        <v>45073</v>
      </c>
      <c r="C28" s="13" t="s">
        <v>10</v>
      </c>
      <c r="D28" s="14">
        <v>1236</v>
      </c>
      <c r="E28" s="15">
        <f t="shared" si="0"/>
        <v>1646.4285714285713</v>
      </c>
      <c r="F28" s="25">
        <f>'S2-Estimated Seasonal Pattern'!$M$9</f>
        <v>-628.65306122448976</v>
      </c>
      <c r="G28" s="59">
        <f>'S2-Noise and Irregularities'!H28</f>
        <v>218.22448979591843</v>
      </c>
      <c r="H28" s="61">
        <f t="shared" si="1"/>
        <v>1236</v>
      </c>
    </row>
    <row r="29" spans="1:8" ht="16" x14ac:dyDescent="0.2">
      <c r="A29" s="30">
        <v>28</v>
      </c>
      <c r="B29" s="12">
        <v>45074</v>
      </c>
      <c r="C29" s="13" t="s">
        <v>11</v>
      </c>
      <c r="D29" s="14">
        <v>1082</v>
      </c>
      <c r="E29" s="15">
        <f t="shared" si="0"/>
        <v>1619.7142857142858</v>
      </c>
      <c r="F29" s="25">
        <f>'S2-Estimated Seasonal Pattern'!$M$10</f>
        <v>-707.67346938775506</v>
      </c>
      <c r="G29" s="59">
        <f>'S2-Noise and Irregularities'!H29</f>
        <v>169.95918367346928</v>
      </c>
      <c r="H29" s="61">
        <f t="shared" si="1"/>
        <v>1082</v>
      </c>
    </row>
    <row r="30" spans="1:8" ht="16" x14ac:dyDescent="0.2">
      <c r="A30" s="30">
        <v>29</v>
      </c>
      <c r="B30" s="12">
        <v>45075</v>
      </c>
      <c r="C30" s="13" t="s">
        <v>5</v>
      </c>
      <c r="D30" s="14">
        <v>1777</v>
      </c>
      <c r="E30" s="15">
        <f t="shared" si="0"/>
        <v>1615</v>
      </c>
      <c r="F30" s="25">
        <f>'S2-Estimated Seasonal Pattern'!$M$4</f>
        <v>429.83673469387759</v>
      </c>
      <c r="G30" s="59">
        <f>'S2-Noise and Irregularities'!H30</f>
        <v>-267.83673469387759</v>
      </c>
      <c r="H30" s="61">
        <f t="shared" si="1"/>
        <v>1777</v>
      </c>
    </row>
    <row r="31" spans="1:8" ht="16" x14ac:dyDescent="0.2">
      <c r="A31" s="30">
        <v>30</v>
      </c>
      <c r="B31" s="12">
        <v>45076</v>
      </c>
      <c r="C31" s="13" t="s">
        <v>6</v>
      </c>
      <c r="D31" s="14">
        <v>1766</v>
      </c>
      <c r="E31" s="15">
        <f t="shared" si="0"/>
        <v>1585.2857142857142</v>
      </c>
      <c r="F31" s="25">
        <f>'S2-Estimated Seasonal Pattern'!$M$5</f>
        <v>265.08163265306132</v>
      </c>
      <c r="G31" s="59">
        <f>'S2-Noise and Irregularities'!H31</f>
        <v>-84.367346938775427</v>
      </c>
      <c r="H31" s="61">
        <f t="shared" si="1"/>
        <v>1766</v>
      </c>
    </row>
    <row r="32" spans="1:8" ht="16" x14ac:dyDescent="0.2">
      <c r="A32" s="30">
        <v>31</v>
      </c>
      <c r="B32" s="12">
        <v>45077</v>
      </c>
      <c r="C32" s="13" t="s">
        <v>7</v>
      </c>
      <c r="D32" s="14">
        <v>1884</v>
      </c>
      <c r="E32" s="15">
        <f t="shared" si="0"/>
        <v>1544.1428571428571</v>
      </c>
      <c r="F32" s="25">
        <f>'S2-Estimated Seasonal Pattern'!$M$6</f>
        <v>458.57142857142856</v>
      </c>
      <c r="G32" s="59">
        <f>'S2-Noise and Irregularities'!H32</f>
        <v>-118.71428571428578</v>
      </c>
      <c r="H32" s="61">
        <f t="shared" si="1"/>
        <v>1884</v>
      </c>
    </row>
    <row r="33" spans="1:8" ht="16" x14ac:dyDescent="0.2">
      <c r="A33" s="30">
        <v>32</v>
      </c>
      <c r="B33" s="12">
        <v>45078</v>
      </c>
      <c r="C33" s="13" t="s">
        <v>8</v>
      </c>
      <c r="D33" s="14">
        <v>1780</v>
      </c>
      <c r="E33" s="15">
        <f t="shared" si="0"/>
        <v>1544.5714285714287</v>
      </c>
      <c r="F33" s="25">
        <f>'S2-Estimated Seasonal Pattern'!$M$7</f>
        <v>260.07142857142856</v>
      </c>
      <c r="G33" s="59">
        <f>'S2-Noise and Irregularities'!H33</f>
        <v>-24.642857142857338</v>
      </c>
      <c r="H33" s="61">
        <f t="shared" si="1"/>
        <v>1780</v>
      </c>
    </row>
    <row r="34" spans="1:8" ht="16" x14ac:dyDescent="0.2">
      <c r="A34" s="30">
        <v>33</v>
      </c>
      <c r="B34" s="12">
        <v>45079</v>
      </c>
      <c r="C34" s="13" t="s">
        <v>9</v>
      </c>
      <c r="D34" s="14">
        <v>1572</v>
      </c>
      <c r="E34" s="15">
        <f t="shared" si="0"/>
        <v>1707.4285714285713</v>
      </c>
      <c r="F34" s="25">
        <f>'S2-Estimated Seasonal Pattern'!$M$8</f>
        <v>-125.4081632653061</v>
      </c>
      <c r="G34" s="59">
        <f>'S2-Noise and Irregularities'!H34</f>
        <v>-10.020408163265301</v>
      </c>
      <c r="H34" s="61">
        <f t="shared" si="1"/>
        <v>1572</v>
      </c>
    </row>
    <row r="35" spans="1:8" ht="16" x14ac:dyDescent="0.2">
      <c r="A35" s="30">
        <v>34</v>
      </c>
      <c r="B35" s="12">
        <v>45080</v>
      </c>
      <c r="C35" s="13" t="s">
        <v>10</v>
      </c>
      <c r="D35" s="14">
        <v>948</v>
      </c>
      <c r="E35" s="15">
        <f t="shared" si="0"/>
        <v>1855.2857142857142</v>
      </c>
      <c r="F35" s="25">
        <f>'S2-Estimated Seasonal Pattern'!$M$9</f>
        <v>-628.65306122448976</v>
      </c>
      <c r="G35" s="59">
        <f>'S2-Noise and Irregularities'!H35</f>
        <v>-278.63265306122457</v>
      </c>
      <c r="H35" s="61">
        <f t="shared" si="1"/>
        <v>948</v>
      </c>
    </row>
    <row r="36" spans="1:8" ht="16" x14ac:dyDescent="0.2">
      <c r="A36" s="30">
        <v>35</v>
      </c>
      <c r="B36" s="12">
        <v>45081</v>
      </c>
      <c r="C36" s="13" t="s">
        <v>11</v>
      </c>
      <c r="D36" s="14">
        <v>1085</v>
      </c>
      <c r="E36" s="15">
        <f t="shared" si="0"/>
        <v>2025.4285714285713</v>
      </c>
      <c r="F36" s="25">
        <f>'S2-Estimated Seasonal Pattern'!$M$10</f>
        <v>-707.67346938775506</v>
      </c>
      <c r="G36" s="59">
        <f>'S2-Noise and Irregularities'!H36</f>
        <v>-232.75510204081638</v>
      </c>
      <c r="H36" s="61">
        <f t="shared" si="1"/>
        <v>1085</v>
      </c>
    </row>
    <row r="37" spans="1:8" ht="16" x14ac:dyDescent="0.2">
      <c r="A37" s="30">
        <v>36</v>
      </c>
      <c r="B37" s="12">
        <v>45082</v>
      </c>
      <c r="C37" s="13" t="s">
        <v>5</v>
      </c>
      <c r="D37" s="14">
        <v>2917</v>
      </c>
      <c r="E37" s="15">
        <f t="shared" si="0"/>
        <v>2162.1428571428573</v>
      </c>
      <c r="F37" s="25">
        <f>'S2-Estimated Seasonal Pattern'!$M$4</f>
        <v>429.83673469387759</v>
      </c>
      <c r="G37" s="59">
        <f>'S2-Noise and Irregularities'!H37</f>
        <v>325.02040816326507</v>
      </c>
      <c r="H37" s="61">
        <f t="shared" si="1"/>
        <v>2917</v>
      </c>
    </row>
    <row r="38" spans="1:8" ht="16" x14ac:dyDescent="0.2">
      <c r="A38" s="30">
        <v>37</v>
      </c>
      <c r="B38" s="12">
        <v>45083</v>
      </c>
      <c r="C38" s="13" t="s">
        <v>6</v>
      </c>
      <c r="D38" s="14">
        <v>2801</v>
      </c>
      <c r="E38" s="15">
        <f t="shared" si="0"/>
        <v>2270.2857142857142</v>
      </c>
      <c r="F38" s="25">
        <f>'S2-Estimated Seasonal Pattern'!$M$5</f>
        <v>265.08163265306132</v>
      </c>
      <c r="G38" s="59">
        <f>'S2-Noise and Irregularities'!H38</f>
        <v>265.63265306122457</v>
      </c>
      <c r="H38" s="61">
        <f t="shared" si="1"/>
        <v>2801</v>
      </c>
    </row>
    <row r="39" spans="1:8" ht="16" x14ac:dyDescent="0.2">
      <c r="A39" s="30">
        <v>38</v>
      </c>
      <c r="B39" s="12">
        <v>45084</v>
      </c>
      <c r="C39" s="13" t="s">
        <v>7</v>
      </c>
      <c r="D39" s="14">
        <v>3075</v>
      </c>
      <c r="E39" s="15">
        <f t="shared" si="0"/>
        <v>2354.8571428571427</v>
      </c>
      <c r="F39" s="25">
        <f>'S2-Estimated Seasonal Pattern'!$M$6</f>
        <v>458.57142857142856</v>
      </c>
      <c r="G39" s="59">
        <f>'S2-Noise and Irregularities'!H39</f>
        <v>261.5714285714289</v>
      </c>
      <c r="H39" s="61">
        <f t="shared" si="1"/>
        <v>3075</v>
      </c>
    </row>
    <row r="40" spans="1:8" ht="16" x14ac:dyDescent="0.2">
      <c r="A40" s="30">
        <v>39</v>
      </c>
      <c r="B40" s="12">
        <v>45085</v>
      </c>
      <c r="C40" s="13" t="s">
        <v>8</v>
      </c>
      <c r="D40" s="14">
        <v>2737</v>
      </c>
      <c r="E40" s="15">
        <f t="shared" si="0"/>
        <v>2455.1428571428573</v>
      </c>
      <c r="F40" s="25">
        <f>'S2-Estimated Seasonal Pattern'!$M$7</f>
        <v>260.07142857142856</v>
      </c>
      <c r="G40" s="59">
        <f>'S2-Noise and Irregularities'!H40</f>
        <v>21.785714285714221</v>
      </c>
      <c r="H40" s="61">
        <f t="shared" si="1"/>
        <v>2737</v>
      </c>
    </row>
    <row r="41" spans="1:8" ht="16" x14ac:dyDescent="0.2">
      <c r="A41" s="30">
        <v>40</v>
      </c>
      <c r="B41" s="12">
        <v>45086</v>
      </c>
      <c r="C41" s="13" t="s">
        <v>9</v>
      </c>
      <c r="D41" s="14">
        <v>2329</v>
      </c>
      <c r="E41" s="15">
        <f t="shared" si="0"/>
        <v>2481.5714285714284</v>
      </c>
      <c r="F41" s="25">
        <f>'S2-Estimated Seasonal Pattern'!$M$8</f>
        <v>-125.4081632653061</v>
      </c>
      <c r="G41" s="59">
        <f>'S2-Noise and Irregularities'!H41</f>
        <v>-27.163265306122412</v>
      </c>
      <c r="H41" s="61">
        <f t="shared" si="1"/>
        <v>2329</v>
      </c>
    </row>
    <row r="42" spans="1:8" ht="16" x14ac:dyDescent="0.2">
      <c r="A42" s="30">
        <v>41</v>
      </c>
      <c r="B42" s="12">
        <v>45087</v>
      </c>
      <c r="C42" s="13" t="s">
        <v>10</v>
      </c>
      <c r="D42" s="14">
        <v>1540</v>
      </c>
      <c r="E42" s="15">
        <f t="shared" si="0"/>
        <v>2424.7142857142858</v>
      </c>
      <c r="F42" s="25">
        <f>'S2-Estimated Seasonal Pattern'!$M$9</f>
        <v>-628.65306122448976</v>
      </c>
      <c r="G42" s="59">
        <f>'S2-Noise and Irregularities'!H42</f>
        <v>-256.06122448979613</v>
      </c>
      <c r="H42" s="61">
        <f t="shared" si="1"/>
        <v>1540</v>
      </c>
    </row>
    <row r="43" spans="1:8" ht="16" x14ac:dyDescent="0.2">
      <c r="A43" s="30">
        <v>42</v>
      </c>
      <c r="B43" s="12">
        <v>45088</v>
      </c>
      <c r="C43" s="13" t="s">
        <v>11</v>
      </c>
      <c r="D43" s="14">
        <v>1787</v>
      </c>
      <c r="E43" s="15">
        <f t="shared" si="0"/>
        <v>2403.5714285714284</v>
      </c>
      <c r="F43" s="25">
        <f>'S2-Estimated Seasonal Pattern'!$M$10</f>
        <v>-707.67346938775506</v>
      </c>
      <c r="G43" s="59">
        <f>'S2-Noise and Irregularities'!H43</f>
        <v>91.102040816326735</v>
      </c>
      <c r="H43" s="61">
        <f t="shared" si="1"/>
        <v>1787</v>
      </c>
    </row>
    <row r="44" spans="1:8" ht="16" x14ac:dyDescent="0.2">
      <c r="A44" s="30">
        <v>43</v>
      </c>
      <c r="B44" s="12">
        <v>45089</v>
      </c>
      <c r="C44" s="13" t="s">
        <v>5</v>
      </c>
      <c r="D44" s="14">
        <v>3102</v>
      </c>
      <c r="E44" s="15">
        <f t="shared" si="0"/>
        <v>2471.5714285714284</v>
      </c>
      <c r="F44" s="25">
        <f>'S2-Estimated Seasonal Pattern'!$M$4</f>
        <v>429.83673469387759</v>
      </c>
      <c r="G44" s="59">
        <f>'S2-Noise and Irregularities'!H44</f>
        <v>200.59183673469397</v>
      </c>
      <c r="H44" s="61">
        <f t="shared" si="1"/>
        <v>3102</v>
      </c>
    </row>
    <row r="45" spans="1:8" ht="16" x14ac:dyDescent="0.2">
      <c r="A45" s="30">
        <v>44</v>
      </c>
      <c r="B45" s="12">
        <v>45090</v>
      </c>
      <c r="C45" s="13" t="s">
        <v>6</v>
      </c>
      <c r="D45" s="14">
        <v>2403</v>
      </c>
      <c r="E45" s="15">
        <f t="shared" si="0"/>
        <v>2452.2857142857142</v>
      </c>
      <c r="F45" s="25">
        <f>'S2-Estimated Seasonal Pattern'!$M$5</f>
        <v>265.08163265306132</v>
      </c>
      <c r="G45" s="59">
        <f>'S2-Noise and Irregularities'!H45</f>
        <v>-314.36734693877543</v>
      </c>
      <c r="H45" s="61">
        <f t="shared" si="1"/>
        <v>2403</v>
      </c>
    </row>
    <row r="46" spans="1:8" ht="16" x14ac:dyDescent="0.2">
      <c r="A46" s="30">
        <v>45</v>
      </c>
      <c r="B46" s="12">
        <v>45091</v>
      </c>
      <c r="C46" s="13" t="s">
        <v>7</v>
      </c>
      <c r="D46" s="14">
        <v>2927</v>
      </c>
      <c r="E46" s="15">
        <f t="shared" si="0"/>
        <v>2486.5714285714284</v>
      </c>
      <c r="F46" s="25">
        <f>'S2-Estimated Seasonal Pattern'!$M$6</f>
        <v>458.57142857142856</v>
      </c>
      <c r="G46" s="59">
        <f>'S2-Noise and Irregularities'!H46</f>
        <v>-18.142857142856883</v>
      </c>
      <c r="H46" s="61">
        <f t="shared" si="1"/>
        <v>2927</v>
      </c>
    </row>
    <row r="47" spans="1:8" ht="16" x14ac:dyDescent="0.2">
      <c r="A47" s="30">
        <v>46</v>
      </c>
      <c r="B47" s="12">
        <v>45092</v>
      </c>
      <c r="C47" s="13" t="s">
        <v>8</v>
      </c>
      <c r="D47" s="14">
        <v>3213</v>
      </c>
      <c r="E47" s="15">
        <f t="shared" si="0"/>
        <v>2432.4285714285716</v>
      </c>
      <c r="F47" s="25">
        <f>'S2-Estimated Seasonal Pattern'!$M$7</f>
        <v>260.07142857142856</v>
      </c>
      <c r="G47" s="59">
        <f>'S2-Noise and Irregularities'!H47</f>
        <v>520.5</v>
      </c>
      <c r="H47" s="61">
        <f t="shared" si="1"/>
        <v>3213</v>
      </c>
    </row>
    <row r="48" spans="1:8" ht="16" x14ac:dyDescent="0.2">
      <c r="A48" s="30">
        <v>47</v>
      </c>
      <c r="B48" s="12">
        <v>45093</v>
      </c>
      <c r="C48" s="13" t="s">
        <v>9</v>
      </c>
      <c r="D48" s="14">
        <v>2194</v>
      </c>
      <c r="E48" s="15">
        <f t="shared" si="0"/>
        <v>2406.4285714285716</v>
      </c>
      <c r="F48" s="25">
        <f>'S2-Estimated Seasonal Pattern'!$M$8</f>
        <v>-125.4081632653061</v>
      </c>
      <c r="G48" s="59">
        <f>'S2-Noise and Irregularities'!H48</f>
        <v>-87.020408163265529</v>
      </c>
      <c r="H48" s="61">
        <f t="shared" si="1"/>
        <v>2194</v>
      </c>
    </row>
    <row r="49" spans="1:8" ht="16" x14ac:dyDescent="0.2">
      <c r="A49" s="30">
        <v>48</v>
      </c>
      <c r="B49" s="12">
        <v>45094</v>
      </c>
      <c r="C49" s="13" t="s">
        <v>10</v>
      </c>
      <c r="D49" s="14">
        <v>1780</v>
      </c>
      <c r="E49" s="15">
        <f t="shared" si="0"/>
        <v>2441.2857142857142</v>
      </c>
      <c r="F49" s="25">
        <f>'S2-Estimated Seasonal Pattern'!$M$9</f>
        <v>-628.65306122448976</v>
      </c>
      <c r="G49" s="59">
        <f>'S2-Noise and Irregularities'!H49</f>
        <v>-32.632653061224573</v>
      </c>
      <c r="H49" s="61">
        <f t="shared" si="1"/>
        <v>1780</v>
      </c>
    </row>
    <row r="50" spans="1:8" ht="16" x14ac:dyDescent="0.2">
      <c r="A50" s="30">
        <v>49</v>
      </c>
      <c r="B50" s="12">
        <v>45095</v>
      </c>
      <c r="C50" s="13" t="s">
        <v>11</v>
      </c>
      <c r="D50" s="14">
        <v>1408</v>
      </c>
      <c r="E50" s="15">
        <f t="shared" si="0"/>
        <v>2454.5714285714284</v>
      </c>
      <c r="F50" s="25">
        <f>'S2-Estimated Seasonal Pattern'!$M$10</f>
        <v>-707.67346938775506</v>
      </c>
      <c r="G50" s="59">
        <f>'S2-Noise and Irregularities'!H50</f>
        <v>-338.89795918367327</v>
      </c>
      <c r="H50" s="61">
        <f t="shared" si="1"/>
        <v>1408</v>
      </c>
    </row>
    <row r="51" spans="1:8" ht="16" x14ac:dyDescent="0.2">
      <c r="A51" s="30">
        <v>50</v>
      </c>
      <c r="B51" s="12">
        <v>45096</v>
      </c>
      <c r="C51" s="13" t="s">
        <v>5</v>
      </c>
      <c r="D51" s="14">
        <v>2920</v>
      </c>
      <c r="E51" s="15">
        <f t="shared" si="0"/>
        <v>2329.5714285714284</v>
      </c>
      <c r="F51" s="25">
        <f>'S2-Estimated Seasonal Pattern'!$M$4</f>
        <v>429.83673469387759</v>
      </c>
      <c r="G51" s="59">
        <f>'S2-Noise and Irregularities'!H51</f>
        <v>160.59183673469397</v>
      </c>
      <c r="H51" s="61">
        <f t="shared" si="1"/>
        <v>2920</v>
      </c>
    </row>
    <row r="52" spans="1:8" ht="16" x14ac:dyDescent="0.2">
      <c r="A52" s="30">
        <v>51</v>
      </c>
      <c r="B52" s="12">
        <v>45097</v>
      </c>
      <c r="C52" s="13" t="s">
        <v>6</v>
      </c>
      <c r="D52" s="14">
        <v>2647</v>
      </c>
      <c r="E52" s="15">
        <f t="shared" si="0"/>
        <v>2437.5714285714284</v>
      </c>
      <c r="F52" s="25">
        <f>'S2-Estimated Seasonal Pattern'!$M$5</f>
        <v>265.08163265306132</v>
      </c>
      <c r="G52" s="59">
        <f>'S2-Noise and Irregularities'!H52</f>
        <v>-55.653061224489647</v>
      </c>
      <c r="H52" s="61">
        <f t="shared" si="1"/>
        <v>2647</v>
      </c>
    </row>
    <row r="53" spans="1:8" ht="16" x14ac:dyDescent="0.2">
      <c r="A53" s="30">
        <v>52</v>
      </c>
      <c r="B53" s="12">
        <v>45098</v>
      </c>
      <c r="C53" s="13" t="s">
        <v>7</v>
      </c>
      <c r="D53" s="14">
        <v>3020</v>
      </c>
      <c r="E53" s="15">
        <f t="shared" si="0"/>
        <v>2412</v>
      </c>
      <c r="F53" s="25">
        <f>'S2-Estimated Seasonal Pattern'!$M$6</f>
        <v>458.57142857142856</v>
      </c>
      <c r="G53" s="59">
        <f>'S2-Noise and Irregularities'!H53</f>
        <v>149.42857142857156</v>
      </c>
      <c r="H53" s="61">
        <f t="shared" si="1"/>
        <v>3020</v>
      </c>
    </row>
    <row r="54" spans="1:8" ht="16" x14ac:dyDescent="0.2">
      <c r="A54" s="30">
        <v>53</v>
      </c>
      <c r="B54" s="12">
        <v>45099</v>
      </c>
      <c r="C54" s="13" t="s">
        <v>8</v>
      </c>
      <c r="D54" s="14">
        <v>2338</v>
      </c>
      <c r="E54" s="15">
        <f t="shared" si="0"/>
        <v>2441.5714285714284</v>
      </c>
      <c r="F54" s="25">
        <f>'S2-Estimated Seasonal Pattern'!$M$7</f>
        <v>260.07142857142856</v>
      </c>
      <c r="G54" s="59">
        <f>'S2-Noise and Irregularities'!H54</f>
        <v>-363.64285714285688</v>
      </c>
      <c r="H54" s="61">
        <f t="shared" si="1"/>
        <v>2338</v>
      </c>
    </row>
    <row r="55" spans="1:8" ht="16" x14ac:dyDescent="0.2">
      <c r="A55" s="30">
        <v>54</v>
      </c>
      <c r="B55" s="12">
        <v>45100</v>
      </c>
      <c r="C55" s="13" t="s">
        <v>9</v>
      </c>
      <c r="D55" s="14">
        <v>2950</v>
      </c>
      <c r="E55" s="15"/>
      <c r="F55" s="25"/>
      <c r="G55" s="28"/>
      <c r="H55" s="60"/>
    </row>
    <row r="56" spans="1:8" ht="16" x14ac:dyDescent="0.2">
      <c r="A56" s="30">
        <v>55</v>
      </c>
      <c r="B56" s="12">
        <v>45101</v>
      </c>
      <c r="C56" s="13" t="s">
        <v>10</v>
      </c>
      <c r="D56" s="14">
        <v>1601</v>
      </c>
      <c r="E56" s="15"/>
      <c r="F56" s="25"/>
      <c r="G56" s="28"/>
      <c r="H56" s="60"/>
    </row>
    <row r="57" spans="1:8" ht="17" thickBot="1" x14ac:dyDescent="0.25">
      <c r="A57" s="32">
        <v>56</v>
      </c>
      <c r="B57" s="39">
        <v>45102</v>
      </c>
      <c r="C57" s="21" t="s">
        <v>11</v>
      </c>
      <c r="D57" s="22">
        <v>1615</v>
      </c>
      <c r="E57" s="23"/>
      <c r="F57" s="40"/>
      <c r="G57" s="62"/>
      <c r="H57" s="6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30C-E17A-104B-A9E2-4B772C5ADD9F}">
  <sheetPr>
    <tabColor theme="7" tint="0.59999389629810485"/>
  </sheetPr>
  <dimension ref="A1:BE35"/>
  <sheetViews>
    <sheetView zoomScale="80" zoomScaleNormal="80" workbookViewId="0">
      <selection activeCell="K10" sqref="K10"/>
    </sheetView>
  </sheetViews>
  <sheetFormatPr baseColWidth="10" defaultRowHeight="15" x14ac:dyDescent="0.2"/>
  <cols>
    <col min="1" max="1" width="28.6640625" style="4" customWidth="1"/>
    <col min="2" max="8" width="10.83203125" style="4"/>
    <col min="9" max="36" width="11" style="4" bestFit="1" customWidth="1"/>
    <col min="37" max="39" width="11.6640625" style="4" bestFit="1" customWidth="1"/>
    <col min="40" max="56" width="11" style="4" bestFit="1" customWidth="1"/>
    <col min="57" max="16384" width="10.83203125" style="4"/>
  </cols>
  <sheetData>
    <row r="1" spans="1:57" ht="16" x14ac:dyDescent="0.2">
      <c r="A1" s="81" t="s">
        <v>1</v>
      </c>
      <c r="B1" s="65">
        <v>45778</v>
      </c>
      <c r="C1" s="66">
        <v>45779</v>
      </c>
      <c r="D1" s="66">
        <v>45780</v>
      </c>
      <c r="E1" s="66">
        <v>45781</v>
      </c>
      <c r="F1" s="66">
        <v>45782</v>
      </c>
      <c r="G1" s="66">
        <v>45783</v>
      </c>
      <c r="H1" s="66">
        <v>45784</v>
      </c>
      <c r="I1" s="66">
        <v>45785</v>
      </c>
      <c r="J1" s="66">
        <v>45786</v>
      </c>
      <c r="K1" s="66">
        <v>45787</v>
      </c>
      <c r="L1" s="66">
        <v>45788</v>
      </c>
      <c r="M1" s="66">
        <v>45789</v>
      </c>
      <c r="N1" s="66">
        <v>45790</v>
      </c>
      <c r="O1" s="66">
        <v>45791</v>
      </c>
      <c r="P1" s="66">
        <v>45792</v>
      </c>
      <c r="Q1" s="66">
        <v>45793</v>
      </c>
      <c r="R1" s="66">
        <v>45794</v>
      </c>
      <c r="S1" s="66">
        <v>45795</v>
      </c>
      <c r="T1" s="66">
        <v>45796</v>
      </c>
      <c r="U1" s="66">
        <v>45797</v>
      </c>
      <c r="V1" s="66">
        <v>45798</v>
      </c>
      <c r="W1" s="66">
        <v>45799</v>
      </c>
      <c r="X1" s="66">
        <v>45800</v>
      </c>
      <c r="Y1" s="66">
        <v>45801</v>
      </c>
      <c r="Z1" s="66">
        <v>45802</v>
      </c>
      <c r="AA1" s="66">
        <v>45803</v>
      </c>
      <c r="AB1" s="66">
        <v>45804</v>
      </c>
      <c r="AC1" s="66">
        <v>45805</v>
      </c>
      <c r="AD1" s="66">
        <v>45806</v>
      </c>
      <c r="AE1" s="66">
        <v>45807</v>
      </c>
      <c r="AF1" s="66">
        <v>45808</v>
      </c>
      <c r="AG1" s="66">
        <v>45809</v>
      </c>
      <c r="AH1" s="66">
        <v>45810</v>
      </c>
      <c r="AI1" s="66">
        <v>45811</v>
      </c>
      <c r="AJ1" s="66">
        <v>45812</v>
      </c>
      <c r="AK1" s="66">
        <v>45813</v>
      </c>
      <c r="AL1" s="66">
        <v>45814</v>
      </c>
      <c r="AM1" s="66">
        <v>45815</v>
      </c>
      <c r="AN1" s="66">
        <v>45816</v>
      </c>
      <c r="AO1" s="66">
        <v>45817</v>
      </c>
      <c r="AP1" s="66">
        <v>45818</v>
      </c>
      <c r="AQ1" s="66">
        <v>45819</v>
      </c>
      <c r="AR1" s="66">
        <v>45820</v>
      </c>
      <c r="AS1" s="66">
        <v>45821</v>
      </c>
      <c r="AT1" s="66">
        <v>45822</v>
      </c>
      <c r="AU1" s="66">
        <v>45823</v>
      </c>
      <c r="AV1" s="66">
        <v>45824</v>
      </c>
      <c r="AW1" s="66">
        <v>45825</v>
      </c>
      <c r="AX1" s="66">
        <v>45826</v>
      </c>
      <c r="AY1" s="66">
        <v>45827</v>
      </c>
      <c r="AZ1" s="66">
        <v>45828</v>
      </c>
      <c r="BA1" s="66">
        <v>45829</v>
      </c>
      <c r="BB1" s="66">
        <v>45830</v>
      </c>
      <c r="BC1" s="66">
        <v>45831</v>
      </c>
      <c r="BD1" s="66">
        <v>45832</v>
      </c>
      <c r="BE1" s="67">
        <v>45833</v>
      </c>
    </row>
    <row r="2" spans="1:57" ht="17" thickBot="1" x14ac:dyDescent="0.25">
      <c r="A2" s="57" t="s">
        <v>31</v>
      </c>
      <c r="B2" s="68" cm="1">
        <f t="array" ref="B2:BE2">TRANSPOSE(Data!C5:C60)</f>
        <v>1576</v>
      </c>
      <c r="C2" s="69">
        <v>2299</v>
      </c>
      <c r="D2" s="69">
        <v>1878</v>
      </c>
      <c r="E2" s="69">
        <v>1628</v>
      </c>
      <c r="F2" s="69">
        <v>1555</v>
      </c>
      <c r="G2" s="69">
        <v>1240</v>
      </c>
      <c r="H2" s="69">
        <v>864</v>
      </c>
      <c r="I2" s="69">
        <v>1882</v>
      </c>
      <c r="J2" s="69">
        <v>2306</v>
      </c>
      <c r="K2" s="69">
        <v>1988</v>
      </c>
      <c r="L2" s="69">
        <v>1886</v>
      </c>
      <c r="M2" s="69">
        <v>1365</v>
      </c>
      <c r="N2" s="69">
        <v>998</v>
      </c>
      <c r="O2" s="69">
        <v>1052</v>
      </c>
      <c r="P2" s="69">
        <v>1905</v>
      </c>
      <c r="Q2" s="69">
        <v>1767</v>
      </c>
      <c r="R2" s="69">
        <v>1911</v>
      </c>
      <c r="S2" s="69">
        <v>2036</v>
      </c>
      <c r="T2" s="69">
        <v>1428</v>
      </c>
      <c r="U2" s="69">
        <v>1008</v>
      </c>
      <c r="V2" s="69">
        <v>1082</v>
      </c>
      <c r="W2" s="69">
        <v>1921</v>
      </c>
      <c r="X2" s="69">
        <v>1780</v>
      </c>
      <c r="Y2" s="69">
        <v>2071</v>
      </c>
      <c r="Z2" s="69">
        <v>1813</v>
      </c>
      <c r="AA2" s="69">
        <v>1780</v>
      </c>
      <c r="AB2" s="69">
        <v>1236</v>
      </c>
      <c r="AC2" s="69">
        <v>1082</v>
      </c>
      <c r="AD2" s="69">
        <v>1777</v>
      </c>
      <c r="AE2" s="69">
        <v>1766</v>
      </c>
      <c r="AF2" s="69">
        <v>1884</v>
      </c>
      <c r="AG2" s="69">
        <v>1780</v>
      </c>
      <c r="AH2" s="69">
        <v>1572</v>
      </c>
      <c r="AI2" s="69">
        <v>948</v>
      </c>
      <c r="AJ2" s="69">
        <v>1085</v>
      </c>
      <c r="AK2" s="69">
        <v>2917</v>
      </c>
      <c r="AL2" s="69">
        <v>2801</v>
      </c>
      <c r="AM2" s="69">
        <v>3075</v>
      </c>
      <c r="AN2" s="69">
        <v>2737</v>
      </c>
      <c r="AO2" s="69">
        <v>2329</v>
      </c>
      <c r="AP2" s="69">
        <v>1540</v>
      </c>
      <c r="AQ2" s="69">
        <v>1787</v>
      </c>
      <c r="AR2" s="69">
        <v>3102</v>
      </c>
      <c r="AS2" s="69">
        <v>2403</v>
      </c>
      <c r="AT2" s="69">
        <v>2927</v>
      </c>
      <c r="AU2" s="69">
        <v>3213</v>
      </c>
      <c r="AV2" s="69">
        <v>2194</v>
      </c>
      <c r="AW2" s="69">
        <v>1780</v>
      </c>
      <c r="AX2" s="69">
        <v>1408</v>
      </c>
      <c r="AY2" s="69">
        <v>2920</v>
      </c>
      <c r="AZ2" s="69">
        <v>2647</v>
      </c>
      <c r="BA2" s="69">
        <v>3020</v>
      </c>
      <c r="BB2" s="69">
        <v>2338</v>
      </c>
      <c r="BC2" s="69">
        <v>2950</v>
      </c>
      <c r="BD2" s="69">
        <v>1601</v>
      </c>
      <c r="BE2" s="70">
        <v>1615</v>
      </c>
    </row>
    <row r="20" spans="1:57" ht="16" thickBot="1" x14ac:dyDescent="0.25"/>
    <row r="21" spans="1:57" ht="16" x14ac:dyDescent="0.2">
      <c r="A21" s="81" t="s">
        <v>1</v>
      </c>
      <c r="B21" s="64">
        <v>45778</v>
      </c>
      <c r="C21" s="64">
        <v>45779</v>
      </c>
      <c r="D21" s="64">
        <v>45780</v>
      </c>
      <c r="E21" s="64">
        <v>45781</v>
      </c>
      <c r="F21" s="64">
        <v>45782</v>
      </c>
      <c r="G21" s="64">
        <v>45783</v>
      </c>
      <c r="H21" s="64">
        <v>45784</v>
      </c>
      <c r="I21" s="64">
        <v>45785</v>
      </c>
      <c r="J21" s="64">
        <v>45786</v>
      </c>
      <c r="K21" s="64">
        <v>45787</v>
      </c>
      <c r="L21" s="64">
        <v>45788</v>
      </c>
      <c r="M21" s="64">
        <v>45789</v>
      </c>
      <c r="N21" s="64">
        <v>45790</v>
      </c>
      <c r="O21" s="64">
        <v>45791</v>
      </c>
      <c r="P21" s="64">
        <v>45792</v>
      </c>
      <c r="Q21" s="64">
        <v>45793</v>
      </c>
      <c r="R21" s="64">
        <v>45794</v>
      </c>
      <c r="S21" s="64">
        <v>45795</v>
      </c>
      <c r="T21" s="64">
        <v>45796</v>
      </c>
      <c r="U21" s="64">
        <v>45797</v>
      </c>
      <c r="V21" s="64">
        <v>45798</v>
      </c>
      <c r="W21" s="64">
        <v>45799</v>
      </c>
      <c r="X21" s="64">
        <v>45800</v>
      </c>
      <c r="Y21" s="64">
        <v>45801</v>
      </c>
      <c r="Z21" s="64">
        <v>45802</v>
      </c>
      <c r="AA21" s="64">
        <v>45803</v>
      </c>
      <c r="AB21" s="64">
        <v>45804</v>
      </c>
      <c r="AC21" s="64">
        <v>45805</v>
      </c>
      <c r="AD21" s="64">
        <v>45806</v>
      </c>
      <c r="AE21" s="64">
        <v>45807</v>
      </c>
      <c r="AF21" s="64">
        <v>45808</v>
      </c>
      <c r="AG21" s="64">
        <v>45809</v>
      </c>
      <c r="AH21" s="64">
        <v>45810</v>
      </c>
      <c r="AI21" s="64">
        <v>45811</v>
      </c>
      <c r="AJ21" s="64">
        <v>45812</v>
      </c>
      <c r="AK21" s="64">
        <v>45813</v>
      </c>
      <c r="AL21" s="64">
        <v>45814</v>
      </c>
      <c r="AM21" s="64">
        <v>45815</v>
      </c>
      <c r="AN21" s="64">
        <v>45816</v>
      </c>
      <c r="AO21" s="64">
        <v>45817</v>
      </c>
      <c r="AP21" s="64">
        <v>45818</v>
      </c>
      <c r="AQ21" s="64">
        <v>45819</v>
      </c>
      <c r="AR21" s="64">
        <v>45820</v>
      </c>
      <c r="AS21" s="64">
        <v>45821</v>
      </c>
      <c r="AT21" s="64">
        <v>45822</v>
      </c>
      <c r="AU21" s="64">
        <v>45823</v>
      </c>
      <c r="AV21" s="64">
        <v>45824</v>
      </c>
      <c r="AW21" s="64">
        <v>45825</v>
      </c>
      <c r="AX21" s="64">
        <v>45826</v>
      </c>
      <c r="AY21" s="71">
        <v>45827</v>
      </c>
      <c r="AZ21" s="71">
        <v>45828</v>
      </c>
      <c r="BA21" s="71">
        <v>45829</v>
      </c>
      <c r="BB21" s="71">
        <v>45830</v>
      </c>
      <c r="BC21" s="71">
        <v>45831</v>
      </c>
      <c r="BD21" s="71">
        <v>45832</v>
      </c>
      <c r="BE21" s="72">
        <v>45833</v>
      </c>
    </row>
    <row r="22" spans="1:57" ht="16" x14ac:dyDescent="0.2">
      <c r="A22" s="56" t="s">
        <v>31</v>
      </c>
      <c r="B22" s="73">
        <f>B2</f>
        <v>1576</v>
      </c>
      <c r="C22" s="73">
        <f t="shared" ref="C22:AX22" si="0">C2</f>
        <v>2299</v>
      </c>
      <c r="D22" s="73">
        <f t="shared" si="0"/>
        <v>1878</v>
      </c>
      <c r="E22" s="73">
        <f t="shared" si="0"/>
        <v>1628</v>
      </c>
      <c r="F22" s="73">
        <f t="shared" si="0"/>
        <v>1555</v>
      </c>
      <c r="G22" s="73">
        <f t="shared" si="0"/>
        <v>1240</v>
      </c>
      <c r="H22" s="73">
        <f t="shared" si="0"/>
        <v>864</v>
      </c>
      <c r="I22" s="73">
        <f t="shared" si="0"/>
        <v>1882</v>
      </c>
      <c r="J22" s="73">
        <f t="shared" si="0"/>
        <v>2306</v>
      </c>
      <c r="K22" s="73">
        <f t="shared" si="0"/>
        <v>1988</v>
      </c>
      <c r="L22" s="73">
        <f t="shared" si="0"/>
        <v>1886</v>
      </c>
      <c r="M22" s="73">
        <f t="shared" si="0"/>
        <v>1365</v>
      </c>
      <c r="N22" s="73">
        <f t="shared" si="0"/>
        <v>998</v>
      </c>
      <c r="O22" s="73">
        <f t="shared" si="0"/>
        <v>1052</v>
      </c>
      <c r="P22" s="73">
        <f t="shared" si="0"/>
        <v>1905</v>
      </c>
      <c r="Q22" s="73">
        <f t="shared" si="0"/>
        <v>1767</v>
      </c>
      <c r="R22" s="73">
        <f t="shared" si="0"/>
        <v>1911</v>
      </c>
      <c r="S22" s="73">
        <f t="shared" si="0"/>
        <v>2036</v>
      </c>
      <c r="T22" s="73">
        <f t="shared" si="0"/>
        <v>1428</v>
      </c>
      <c r="U22" s="73">
        <f t="shared" si="0"/>
        <v>1008</v>
      </c>
      <c r="V22" s="73">
        <f t="shared" si="0"/>
        <v>1082</v>
      </c>
      <c r="W22" s="73">
        <f t="shared" si="0"/>
        <v>1921</v>
      </c>
      <c r="X22" s="73">
        <f t="shared" si="0"/>
        <v>1780</v>
      </c>
      <c r="Y22" s="73">
        <f t="shared" si="0"/>
        <v>2071</v>
      </c>
      <c r="Z22" s="73">
        <f t="shared" si="0"/>
        <v>1813</v>
      </c>
      <c r="AA22" s="73">
        <f t="shared" si="0"/>
        <v>1780</v>
      </c>
      <c r="AB22" s="73">
        <f t="shared" si="0"/>
        <v>1236</v>
      </c>
      <c r="AC22" s="73">
        <f t="shared" si="0"/>
        <v>1082</v>
      </c>
      <c r="AD22" s="73">
        <f t="shared" si="0"/>
        <v>1777</v>
      </c>
      <c r="AE22" s="73">
        <f t="shared" si="0"/>
        <v>1766</v>
      </c>
      <c r="AF22" s="73">
        <f t="shared" si="0"/>
        <v>1884</v>
      </c>
      <c r="AG22" s="73">
        <f t="shared" si="0"/>
        <v>1780</v>
      </c>
      <c r="AH22" s="73">
        <f t="shared" si="0"/>
        <v>1572</v>
      </c>
      <c r="AI22" s="73">
        <f t="shared" si="0"/>
        <v>948</v>
      </c>
      <c r="AJ22" s="73">
        <f t="shared" si="0"/>
        <v>1085</v>
      </c>
      <c r="AK22" s="73">
        <f t="shared" si="0"/>
        <v>2917</v>
      </c>
      <c r="AL22" s="73">
        <f t="shared" si="0"/>
        <v>2801</v>
      </c>
      <c r="AM22" s="73">
        <f t="shared" si="0"/>
        <v>3075</v>
      </c>
      <c r="AN22" s="73">
        <f t="shared" si="0"/>
        <v>2737</v>
      </c>
      <c r="AO22" s="73">
        <f t="shared" si="0"/>
        <v>2329</v>
      </c>
      <c r="AP22" s="73">
        <f t="shared" si="0"/>
        <v>1540</v>
      </c>
      <c r="AQ22" s="73">
        <f t="shared" si="0"/>
        <v>1787</v>
      </c>
      <c r="AR22" s="73">
        <f t="shared" si="0"/>
        <v>3102</v>
      </c>
      <c r="AS22" s="73">
        <f t="shared" si="0"/>
        <v>2403</v>
      </c>
      <c r="AT22" s="73">
        <f t="shared" si="0"/>
        <v>2927</v>
      </c>
      <c r="AU22" s="73">
        <f t="shared" si="0"/>
        <v>3213</v>
      </c>
      <c r="AV22" s="73">
        <f t="shared" si="0"/>
        <v>2194</v>
      </c>
      <c r="AW22" s="73">
        <f t="shared" si="0"/>
        <v>1780</v>
      </c>
      <c r="AX22" s="73">
        <f t="shared" si="0"/>
        <v>1408</v>
      </c>
      <c r="AY22" s="74"/>
      <c r="AZ22" s="74"/>
      <c r="BA22" s="74"/>
      <c r="BB22" s="74"/>
      <c r="BC22" s="74"/>
      <c r="BD22" s="74"/>
      <c r="BE22" s="75"/>
    </row>
    <row r="23" spans="1:57" ht="16" x14ac:dyDescent="0.2">
      <c r="A23" s="56" t="s">
        <v>32</v>
      </c>
      <c r="B23" s="73"/>
      <c r="C23" s="73"/>
      <c r="D23" s="73"/>
      <c r="E23" s="73"/>
      <c r="F23" s="73"/>
      <c r="G23" s="73"/>
      <c r="H23" s="73">
        <f>B22</f>
        <v>1576</v>
      </c>
      <c r="I23" s="73">
        <f t="shared" ref="I23:BD23" si="1">C22</f>
        <v>2299</v>
      </c>
      <c r="J23" s="73">
        <f t="shared" si="1"/>
        <v>1878</v>
      </c>
      <c r="K23" s="73">
        <f t="shared" si="1"/>
        <v>1628</v>
      </c>
      <c r="L23" s="73">
        <f t="shared" si="1"/>
        <v>1555</v>
      </c>
      <c r="M23" s="73">
        <f t="shared" si="1"/>
        <v>1240</v>
      </c>
      <c r="N23" s="73">
        <f t="shared" si="1"/>
        <v>864</v>
      </c>
      <c r="O23" s="73">
        <f t="shared" si="1"/>
        <v>1882</v>
      </c>
      <c r="P23" s="73">
        <f t="shared" si="1"/>
        <v>2306</v>
      </c>
      <c r="Q23" s="73">
        <f t="shared" si="1"/>
        <v>1988</v>
      </c>
      <c r="R23" s="73">
        <f t="shared" si="1"/>
        <v>1886</v>
      </c>
      <c r="S23" s="73">
        <f t="shared" si="1"/>
        <v>1365</v>
      </c>
      <c r="T23" s="73">
        <f t="shared" si="1"/>
        <v>998</v>
      </c>
      <c r="U23" s="73">
        <f t="shared" si="1"/>
        <v>1052</v>
      </c>
      <c r="V23" s="73">
        <f t="shared" si="1"/>
        <v>1905</v>
      </c>
      <c r="W23" s="73">
        <f t="shared" si="1"/>
        <v>1767</v>
      </c>
      <c r="X23" s="73">
        <f t="shared" si="1"/>
        <v>1911</v>
      </c>
      <c r="Y23" s="73">
        <f t="shared" si="1"/>
        <v>2036</v>
      </c>
      <c r="Z23" s="73">
        <f t="shared" si="1"/>
        <v>1428</v>
      </c>
      <c r="AA23" s="73">
        <f t="shared" si="1"/>
        <v>1008</v>
      </c>
      <c r="AB23" s="73">
        <f t="shared" si="1"/>
        <v>1082</v>
      </c>
      <c r="AC23" s="73">
        <f t="shared" si="1"/>
        <v>1921</v>
      </c>
      <c r="AD23" s="73">
        <f t="shared" si="1"/>
        <v>1780</v>
      </c>
      <c r="AE23" s="73">
        <f t="shared" si="1"/>
        <v>2071</v>
      </c>
      <c r="AF23" s="73">
        <f t="shared" si="1"/>
        <v>1813</v>
      </c>
      <c r="AG23" s="73">
        <f t="shared" si="1"/>
        <v>1780</v>
      </c>
      <c r="AH23" s="73">
        <f t="shared" si="1"/>
        <v>1236</v>
      </c>
      <c r="AI23" s="73">
        <f t="shared" si="1"/>
        <v>1082</v>
      </c>
      <c r="AJ23" s="73">
        <f t="shared" si="1"/>
        <v>1777</v>
      </c>
      <c r="AK23" s="73">
        <f t="shared" si="1"/>
        <v>1766</v>
      </c>
      <c r="AL23" s="73">
        <f t="shared" si="1"/>
        <v>1884</v>
      </c>
      <c r="AM23" s="73">
        <f t="shared" si="1"/>
        <v>1780</v>
      </c>
      <c r="AN23" s="73">
        <f t="shared" si="1"/>
        <v>1572</v>
      </c>
      <c r="AO23" s="73">
        <f t="shared" si="1"/>
        <v>948</v>
      </c>
      <c r="AP23" s="73">
        <f t="shared" si="1"/>
        <v>1085</v>
      </c>
      <c r="AQ23" s="73">
        <f t="shared" si="1"/>
        <v>2917</v>
      </c>
      <c r="AR23" s="73">
        <f t="shared" si="1"/>
        <v>2801</v>
      </c>
      <c r="AS23" s="73">
        <f t="shared" si="1"/>
        <v>3075</v>
      </c>
      <c r="AT23" s="73">
        <f t="shared" si="1"/>
        <v>2737</v>
      </c>
      <c r="AU23" s="73">
        <f t="shared" si="1"/>
        <v>2329</v>
      </c>
      <c r="AV23" s="73">
        <f t="shared" si="1"/>
        <v>1540</v>
      </c>
      <c r="AW23" s="73">
        <f t="shared" si="1"/>
        <v>1787</v>
      </c>
      <c r="AX23" s="73">
        <f t="shared" si="1"/>
        <v>3102</v>
      </c>
      <c r="AY23" s="74">
        <f t="shared" si="1"/>
        <v>2403</v>
      </c>
      <c r="AZ23" s="74">
        <f t="shared" si="1"/>
        <v>2927</v>
      </c>
      <c r="BA23" s="74">
        <f t="shared" si="1"/>
        <v>3213</v>
      </c>
      <c r="BB23" s="74">
        <f t="shared" si="1"/>
        <v>2194</v>
      </c>
      <c r="BC23" s="74">
        <f t="shared" si="1"/>
        <v>1780</v>
      </c>
      <c r="BD23" s="74">
        <f t="shared" si="1"/>
        <v>1408</v>
      </c>
      <c r="BE23" s="75"/>
    </row>
    <row r="24" spans="1:57" ht="17" thickBot="1" x14ac:dyDescent="0.25">
      <c r="A24" s="57" t="s">
        <v>33</v>
      </c>
      <c r="B24" s="76"/>
      <c r="C24" s="76"/>
      <c r="D24" s="76"/>
      <c r="E24" s="76"/>
      <c r="F24" s="76"/>
      <c r="G24" s="76"/>
      <c r="H24" s="76"/>
      <c r="I24" s="76">
        <f>H23</f>
        <v>1576</v>
      </c>
      <c r="J24" s="76">
        <f t="shared" ref="J24:BE24" si="2">I23</f>
        <v>2299</v>
      </c>
      <c r="K24" s="76">
        <f t="shared" si="2"/>
        <v>1878</v>
      </c>
      <c r="L24" s="76">
        <f t="shared" si="2"/>
        <v>1628</v>
      </c>
      <c r="M24" s="76">
        <f t="shared" si="2"/>
        <v>1555</v>
      </c>
      <c r="N24" s="76">
        <f t="shared" si="2"/>
        <v>1240</v>
      </c>
      <c r="O24" s="76">
        <f t="shared" si="2"/>
        <v>864</v>
      </c>
      <c r="P24" s="76">
        <f t="shared" si="2"/>
        <v>1882</v>
      </c>
      <c r="Q24" s="76">
        <f t="shared" si="2"/>
        <v>2306</v>
      </c>
      <c r="R24" s="76">
        <f t="shared" si="2"/>
        <v>1988</v>
      </c>
      <c r="S24" s="76">
        <f t="shared" si="2"/>
        <v>1886</v>
      </c>
      <c r="T24" s="76">
        <f t="shared" si="2"/>
        <v>1365</v>
      </c>
      <c r="U24" s="76">
        <f t="shared" si="2"/>
        <v>998</v>
      </c>
      <c r="V24" s="76">
        <f t="shared" si="2"/>
        <v>1052</v>
      </c>
      <c r="W24" s="76">
        <f t="shared" si="2"/>
        <v>1905</v>
      </c>
      <c r="X24" s="76">
        <f t="shared" si="2"/>
        <v>1767</v>
      </c>
      <c r="Y24" s="76">
        <f t="shared" si="2"/>
        <v>1911</v>
      </c>
      <c r="Z24" s="76">
        <f t="shared" si="2"/>
        <v>2036</v>
      </c>
      <c r="AA24" s="76">
        <f t="shared" si="2"/>
        <v>1428</v>
      </c>
      <c r="AB24" s="76">
        <f t="shared" si="2"/>
        <v>1008</v>
      </c>
      <c r="AC24" s="76">
        <f t="shared" si="2"/>
        <v>1082</v>
      </c>
      <c r="AD24" s="76">
        <f t="shared" si="2"/>
        <v>1921</v>
      </c>
      <c r="AE24" s="76">
        <f t="shared" si="2"/>
        <v>1780</v>
      </c>
      <c r="AF24" s="76">
        <f t="shared" si="2"/>
        <v>2071</v>
      </c>
      <c r="AG24" s="76">
        <f t="shared" si="2"/>
        <v>1813</v>
      </c>
      <c r="AH24" s="76">
        <f t="shared" si="2"/>
        <v>1780</v>
      </c>
      <c r="AI24" s="76">
        <f t="shared" si="2"/>
        <v>1236</v>
      </c>
      <c r="AJ24" s="76">
        <f t="shared" si="2"/>
        <v>1082</v>
      </c>
      <c r="AK24" s="76">
        <f t="shared" si="2"/>
        <v>1777</v>
      </c>
      <c r="AL24" s="76">
        <f t="shared" si="2"/>
        <v>1766</v>
      </c>
      <c r="AM24" s="76">
        <f t="shared" si="2"/>
        <v>1884</v>
      </c>
      <c r="AN24" s="76">
        <f t="shared" si="2"/>
        <v>1780</v>
      </c>
      <c r="AO24" s="76">
        <f t="shared" si="2"/>
        <v>1572</v>
      </c>
      <c r="AP24" s="76">
        <f t="shared" si="2"/>
        <v>948</v>
      </c>
      <c r="AQ24" s="76">
        <f t="shared" si="2"/>
        <v>1085</v>
      </c>
      <c r="AR24" s="76">
        <f t="shared" si="2"/>
        <v>2917</v>
      </c>
      <c r="AS24" s="76">
        <f t="shared" si="2"/>
        <v>2801</v>
      </c>
      <c r="AT24" s="76">
        <f t="shared" si="2"/>
        <v>3075</v>
      </c>
      <c r="AU24" s="76">
        <f t="shared" si="2"/>
        <v>2737</v>
      </c>
      <c r="AV24" s="76">
        <f t="shared" si="2"/>
        <v>2329</v>
      </c>
      <c r="AW24" s="76">
        <f t="shared" si="2"/>
        <v>1540</v>
      </c>
      <c r="AX24" s="76">
        <f t="shared" si="2"/>
        <v>1787</v>
      </c>
      <c r="AY24" s="77">
        <f t="shared" si="2"/>
        <v>3102</v>
      </c>
      <c r="AZ24" s="77">
        <f t="shared" si="2"/>
        <v>2403</v>
      </c>
      <c r="BA24" s="77">
        <f t="shared" si="2"/>
        <v>2927</v>
      </c>
      <c r="BB24" s="77">
        <f t="shared" si="2"/>
        <v>3213</v>
      </c>
      <c r="BC24" s="77">
        <f t="shared" si="2"/>
        <v>2194</v>
      </c>
      <c r="BD24" s="77">
        <f t="shared" si="2"/>
        <v>1780</v>
      </c>
      <c r="BE24" s="78">
        <f t="shared" si="2"/>
        <v>1408</v>
      </c>
    </row>
    <row r="26" spans="1:57" ht="16" thickBot="1" x14ac:dyDescent="0.25"/>
    <row r="27" spans="1:57" ht="16" x14ac:dyDescent="0.2">
      <c r="A27" s="81" t="s">
        <v>34</v>
      </c>
      <c r="B27" s="79"/>
      <c r="C27" s="79"/>
      <c r="D27" s="79"/>
      <c r="E27" s="79"/>
      <c r="F27" s="79"/>
      <c r="G27" s="79"/>
      <c r="H27" s="79"/>
      <c r="I27" s="82">
        <f>I2-I24</f>
        <v>306</v>
      </c>
      <c r="J27" s="82">
        <f t="shared" ref="J27:BE27" si="3">J2-J24</f>
        <v>7</v>
      </c>
      <c r="K27" s="82">
        <f t="shared" si="3"/>
        <v>110</v>
      </c>
      <c r="L27" s="82">
        <f t="shared" si="3"/>
        <v>258</v>
      </c>
      <c r="M27" s="82">
        <f t="shared" si="3"/>
        <v>-190</v>
      </c>
      <c r="N27" s="82">
        <f t="shared" si="3"/>
        <v>-242</v>
      </c>
      <c r="O27" s="82">
        <f t="shared" si="3"/>
        <v>188</v>
      </c>
      <c r="P27" s="82">
        <f t="shared" si="3"/>
        <v>23</v>
      </c>
      <c r="Q27" s="82">
        <f t="shared" si="3"/>
        <v>-539</v>
      </c>
      <c r="R27" s="82">
        <f t="shared" si="3"/>
        <v>-77</v>
      </c>
      <c r="S27" s="82">
        <f t="shared" si="3"/>
        <v>150</v>
      </c>
      <c r="T27" s="82">
        <f t="shared" si="3"/>
        <v>63</v>
      </c>
      <c r="U27" s="82">
        <f t="shared" si="3"/>
        <v>10</v>
      </c>
      <c r="V27" s="82">
        <f t="shared" si="3"/>
        <v>30</v>
      </c>
      <c r="W27" s="82">
        <f t="shared" si="3"/>
        <v>16</v>
      </c>
      <c r="X27" s="82">
        <f t="shared" si="3"/>
        <v>13</v>
      </c>
      <c r="Y27" s="82">
        <f t="shared" si="3"/>
        <v>160</v>
      </c>
      <c r="Z27" s="82">
        <f t="shared" si="3"/>
        <v>-223</v>
      </c>
      <c r="AA27" s="82">
        <f t="shared" si="3"/>
        <v>352</v>
      </c>
      <c r="AB27" s="82">
        <f t="shared" si="3"/>
        <v>228</v>
      </c>
      <c r="AC27" s="82">
        <f t="shared" si="3"/>
        <v>0</v>
      </c>
      <c r="AD27" s="82">
        <f t="shared" si="3"/>
        <v>-144</v>
      </c>
      <c r="AE27" s="82">
        <f t="shared" si="3"/>
        <v>-14</v>
      </c>
      <c r="AF27" s="82">
        <f t="shared" si="3"/>
        <v>-187</v>
      </c>
      <c r="AG27" s="82">
        <f t="shared" si="3"/>
        <v>-33</v>
      </c>
      <c r="AH27" s="82">
        <f t="shared" si="3"/>
        <v>-208</v>
      </c>
      <c r="AI27" s="82">
        <f t="shared" si="3"/>
        <v>-288</v>
      </c>
      <c r="AJ27" s="82">
        <f t="shared" si="3"/>
        <v>3</v>
      </c>
      <c r="AK27" s="82">
        <f t="shared" si="3"/>
        <v>1140</v>
      </c>
      <c r="AL27" s="82">
        <f t="shared" si="3"/>
        <v>1035</v>
      </c>
      <c r="AM27" s="82">
        <f t="shared" si="3"/>
        <v>1191</v>
      </c>
      <c r="AN27" s="82">
        <f t="shared" si="3"/>
        <v>957</v>
      </c>
      <c r="AO27" s="82">
        <f t="shared" si="3"/>
        <v>757</v>
      </c>
      <c r="AP27" s="82">
        <f t="shared" si="3"/>
        <v>592</v>
      </c>
      <c r="AQ27" s="82">
        <f t="shared" si="3"/>
        <v>702</v>
      </c>
      <c r="AR27" s="82">
        <f t="shared" si="3"/>
        <v>185</v>
      </c>
      <c r="AS27" s="82">
        <f t="shared" si="3"/>
        <v>-398</v>
      </c>
      <c r="AT27" s="82">
        <f t="shared" si="3"/>
        <v>-148</v>
      </c>
      <c r="AU27" s="82">
        <f t="shared" si="3"/>
        <v>476</v>
      </c>
      <c r="AV27" s="82">
        <f t="shared" si="3"/>
        <v>-135</v>
      </c>
      <c r="AW27" s="82">
        <f t="shared" si="3"/>
        <v>240</v>
      </c>
      <c r="AX27" s="82">
        <f t="shared" si="3"/>
        <v>-379</v>
      </c>
      <c r="AY27" s="83">
        <f t="shared" si="3"/>
        <v>-182</v>
      </c>
      <c r="AZ27" s="83">
        <f t="shared" si="3"/>
        <v>244</v>
      </c>
      <c r="BA27" s="83">
        <f t="shared" si="3"/>
        <v>93</v>
      </c>
      <c r="BB27" s="83">
        <f t="shared" si="3"/>
        <v>-875</v>
      </c>
      <c r="BC27" s="83">
        <f t="shared" si="3"/>
        <v>756</v>
      </c>
      <c r="BD27" s="83">
        <f t="shared" si="3"/>
        <v>-179</v>
      </c>
      <c r="BE27" s="228">
        <f t="shared" si="3"/>
        <v>207</v>
      </c>
    </row>
    <row r="28" spans="1:57" ht="16" x14ac:dyDescent="0.2">
      <c r="A28" s="56" t="s">
        <v>35</v>
      </c>
      <c r="B28" s="73"/>
      <c r="C28" s="73"/>
      <c r="D28" s="73"/>
      <c r="E28" s="73"/>
      <c r="F28" s="73"/>
      <c r="G28" s="73"/>
      <c r="H28" s="73"/>
      <c r="I28" s="84">
        <f>ABS(I27)</f>
        <v>306</v>
      </c>
      <c r="J28" s="84">
        <f t="shared" ref="J28:BE28" si="4">ABS(J27)</f>
        <v>7</v>
      </c>
      <c r="K28" s="84">
        <f t="shared" si="4"/>
        <v>110</v>
      </c>
      <c r="L28" s="84">
        <f t="shared" si="4"/>
        <v>258</v>
      </c>
      <c r="M28" s="84">
        <f t="shared" si="4"/>
        <v>190</v>
      </c>
      <c r="N28" s="84">
        <f t="shared" si="4"/>
        <v>242</v>
      </c>
      <c r="O28" s="84">
        <f t="shared" si="4"/>
        <v>188</v>
      </c>
      <c r="P28" s="84">
        <f t="shared" si="4"/>
        <v>23</v>
      </c>
      <c r="Q28" s="84">
        <f t="shared" si="4"/>
        <v>539</v>
      </c>
      <c r="R28" s="84">
        <f t="shared" si="4"/>
        <v>77</v>
      </c>
      <c r="S28" s="84">
        <f t="shared" si="4"/>
        <v>150</v>
      </c>
      <c r="T28" s="84">
        <f t="shared" si="4"/>
        <v>63</v>
      </c>
      <c r="U28" s="84">
        <f t="shared" si="4"/>
        <v>10</v>
      </c>
      <c r="V28" s="84">
        <f t="shared" si="4"/>
        <v>30</v>
      </c>
      <c r="W28" s="84">
        <f t="shared" si="4"/>
        <v>16</v>
      </c>
      <c r="X28" s="84">
        <f t="shared" si="4"/>
        <v>13</v>
      </c>
      <c r="Y28" s="84">
        <f t="shared" si="4"/>
        <v>160</v>
      </c>
      <c r="Z28" s="84">
        <f t="shared" si="4"/>
        <v>223</v>
      </c>
      <c r="AA28" s="84">
        <f t="shared" si="4"/>
        <v>352</v>
      </c>
      <c r="AB28" s="84">
        <f t="shared" si="4"/>
        <v>228</v>
      </c>
      <c r="AC28" s="84">
        <f t="shared" si="4"/>
        <v>0</v>
      </c>
      <c r="AD28" s="84">
        <f t="shared" si="4"/>
        <v>144</v>
      </c>
      <c r="AE28" s="84">
        <f t="shared" si="4"/>
        <v>14</v>
      </c>
      <c r="AF28" s="84">
        <f t="shared" si="4"/>
        <v>187</v>
      </c>
      <c r="AG28" s="84">
        <f t="shared" si="4"/>
        <v>33</v>
      </c>
      <c r="AH28" s="84">
        <f t="shared" si="4"/>
        <v>208</v>
      </c>
      <c r="AI28" s="84">
        <f t="shared" si="4"/>
        <v>288</v>
      </c>
      <c r="AJ28" s="84">
        <f t="shared" si="4"/>
        <v>3</v>
      </c>
      <c r="AK28" s="84">
        <f t="shared" si="4"/>
        <v>1140</v>
      </c>
      <c r="AL28" s="84">
        <f t="shared" si="4"/>
        <v>1035</v>
      </c>
      <c r="AM28" s="84">
        <f t="shared" si="4"/>
        <v>1191</v>
      </c>
      <c r="AN28" s="84">
        <f t="shared" si="4"/>
        <v>957</v>
      </c>
      <c r="AO28" s="84">
        <f t="shared" si="4"/>
        <v>757</v>
      </c>
      <c r="AP28" s="84">
        <f t="shared" si="4"/>
        <v>592</v>
      </c>
      <c r="AQ28" s="84">
        <f t="shared" si="4"/>
        <v>702</v>
      </c>
      <c r="AR28" s="84">
        <f t="shared" si="4"/>
        <v>185</v>
      </c>
      <c r="AS28" s="84">
        <f t="shared" si="4"/>
        <v>398</v>
      </c>
      <c r="AT28" s="84">
        <f t="shared" si="4"/>
        <v>148</v>
      </c>
      <c r="AU28" s="84">
        <f t="shared" si="4"/>
        <v>476</v>
      </c>
      <c r="AV28" s="84">
        <f t="shared" si="4"/>
        <v>135</v>
      </c>
      <c r="AW28" s="84">
        <f t="shared" si="4"/>
        <v>240</v>
      </c>
      <c r="AX28" s="84">
        <f t="shared" si="4"/>
        <v>379</v>
      </c>
      <c r="AY28" s="229">
        <f t="shared" si="4"/>
        <v>182</v>
      </c>
      <c r="AZ28" s="229">
        <f t="shared" si="4"/>
        <v>244</v>
      </c>
      <c r="BA28" s="229">
        <f t="shared" si="4"/>
        <v>93</v>
      </c>
      <c r="BB28" s="229">
        <f t="shared" si="4"/>
        <v>875</v>
      </c>
      <c r="BC28" s="229">
        <f t="shared" si="4"/>
        <v>756</v>
      </c>
      <c r="BD28" s="229">
        <f t="shared" si="4"/>
        <v>179</v>
      </c>
      <c r="BE28" s="230">
        <f t="shared" si="4"/>
        <v>207</v>
      </c>
    </row>
    <row r="29" spans="1:57" ht="17" thickBot="1" x14ac:dyDescent="0.25">
      <c r="A29" s="57" t="s">
        <v>36</v>
      </c>
      <c r="B29" s="76"/>
      <c r="C29" s="76"/>
      <c r="D29" s="76"/>
      <c r="E29" s="76"/>
      <c r="F29" s="76"/>
      <c r="G29" s="76"/>
      <c r="H29" s="76"/>
      <c r="I29" s="85">
        <f>I27^2</f>
        <v>93636</v>
      </c>
      <c r="J29" s="85">
        <f t="shared" ref="J29:BE29" si="5">J27^2</f>
        <v>49</v>
      </c>
      <c r="K29" s="85">
        <f t="shared" si="5"/>
        <v>12100</v>
      </c>
      <c r="L29" s="85">
        <f t="shared" si="5"/>
        <v>66564</v>
      </c>
      <c r="M29" s="85">
        <f t="shared" si="5"/>
        <v>36100</v>
      </c>
      <c r="N29" s="85">
        <f t="shared" si="5"/>
        <v>58564</v>
      </c>
      <c r="O29" s="85">
        <f t="shared" si="5"/>
        <v>35344</v>
      </c>
      <c r="P29" s="85">
        <f t="shared" si="5"/>
        <v>529</v>
      </c>
      <c r="Q29" s="85">
        <f t="shared" si="5"/>
        <v>290521</v>
      </c>
      <c r="R29" s="85">
        <f t="shared" si="5"/>
        <v>5929</v>
      </c>
      <c r="S29" s="85">
        <f t="shared" si="5"/>
        <v>22500</v>
      </c>
      <c r="T29" s="85">
        <f t="shared" si="5"/>
        <v>3969</v>
      </c>
      <c r="U29" s="85">
        <f t="shared" si="5"/>
        <v>100</v>
      </c>
      <c r="V29" s="85">
        <f t="shared" si="5"/>
        <v>900</v>
      </c>
      <c r="W29" s="85">
        <f t="shared" si="5"/>
        <v>256</v>
      </c>
      <c r="X29" s="85">
        <f t="shared" si="5"/>
        <v>169</v>
      </c>
      <c r="Y29" s="85">
        <f t="shared" si="5"/>
        <v>25600</v>
      </c>
      <c r="Z29" s="85">
        <f t="shared" si="5"/>
        <v>49729</v>
      </c>
      <c r="AA29" s="85">
        <f t="shared" si="5"/>
        <v>123904</v>
      </c>
      <c r="AB29" s="85">
        <f t="shared" si="5"/>
        <v>51984</v>
      </c>
      <c r="AC29" s="85">
        <f t="shared" si="5"/>
        <v>0</v>
      </c>
      <c r="AD29" s="85">
        <f t="shared" si="5"/>
        <v>20736</v>
      </c>
      <c r="AE29" s="85">
        <f t="shared" si="5"/>
        <v>196</v>
      </c>
      <c r="AF29" s="85">
        <f t="shared" si="5"/>
        <v>34969</v>
      </c>
      <c r="AG29" s="85">
        <f t="shared" si="5"/>
        <v>1089</v>
      </c>
      <c r="AH29" s="85">
        <f t="shared" si="5"/>
        <v>43264</v>
      </c>
      <c r="AI29" s="85">
        <f t="shared" si="5"/>
        <v>82944</v>
      </c>
      <c r="AJ29" s="85">
        <f t="shared" si="5"/>
        <v>9</v>
      </c>
      <c r="AK29" s="85">
        <f t="shared" si="5"/>
        <v>1299600</v>
      </c>
      <c r="AL29" s="85">
        <f t="shared" si="5"/>
        <v>1071225</v>
      </c>
      <c r="AM29" s="85">
        <f t="shared" si="5"/>
        <v>1418481</v>
      </c>
      <c r="AN29" s="85">
        <f t="shared" si="5"/>
        <v>915849</v>
      </c>
      <c r="AO29" s="85">
        <f t="shared" si="5"/>
        <v>573049</v>
      </c>
      <c r="AP29" s="85">
        <f t="shared" si="5"/>
        <v>350464</v>
      </c>
      <c r="AQ29" s="85">
        <f t="shared" si="5"/>
        <v>492804</v>
      </c>
      <c r="AR29" s="85">
        <f t="shared" si="5"/>
        <v>34225</v>
      </c>
      <c r="AS29" s="85">
        <f t="shared" si="5"/>
        <v>158404</v>
      </c>
      <c r="AT29" s="85">
        <f t="shared" si="5"/>
        <v>21904</v>
      </c>
      <c r="AU29" s="85">
        <f t="shared" si="5"/>
        <v>226576</v>
      </c>
      <c r="AV29" s="85">
        <f t="shared" si="5"/>
        <v>18225</v>
      </c>
      <c r="AW29" s="85">
        <f t="shared" si="5"/>
        <v>57600</v>
      </c>
      <c r="AX29" s="85">
        <f t="shared" si="5"/>
        <v>143641</v>
      </c>
      <c r="AY29" s="86">
        <f t="shared" si="5"/>
        <v>33124</v>
      </c>
      <c r="AZ29" s="86">
        <f t="shared" si="5"/>
        <v>59536</v>
      </c>
      <c r="BA29" s="86">
        <f t="shared" si="5"/>
        <v>8649</v>
      </c>
      <c r="BB29" s="86">
        <f t="shared" si="5"/>
        <v>765625</v>
      </c>
      <c r="BC29" s="86">
        <f t="shared" si="5"/>
        <v>571536</v>
      </c>
      <c r="BD29" s="86">
        <f t="shared" si="5"/>
        <v>32041</v>
      </c>
      <c r="BE29" s="231">
        <f t="shared" si="5"/>
        <v>42849</v>
      </c>
    </row>
    <row r="30" spans="1:57" x14ac:dyDescent="0.2"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7" ht="16" thickBot="1" x14ac:dyDescent="0.25"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7" ht="16" x14ac:dyDescent="0.2">
      <c r="A32" s="81" t="s">
        <v>37</v>
      </c>
      <c r="B32" s="79"/>
      <c r="C32" s="79"/>
      <c r="D32" s="79"/>
      <c r="E32" s="79"/>
      <c r="F32" s="79"/>
      <c r="G32" s="79"/>
      <c r="H32" s="79"/>
      <c r="I32" s="82">
        <f>SUM($I$27:I27)/COUNT($I$27:I27)</f>
        <v>306</v>
      </c>
      <c r="J32" s="82">
        <f>SUM($I$27:J27)/COUNT($I$27:J27)</f>
        <v>156.5</v>
      </c>
      <c r="K32" s="82">
        <f>SUM($I$27:K27)/COUNT($I$27:K27)</f>
        <v>141</v>
      </c>
      <c r="L32" s="82">
        <f>SUM($I$27:L27)/COUNT($I$27:L27)</f>
        <v>170.25</v>
      </c>
      <c r="M32" s="82">
        <f>SUM($I$27:M27)/COUNT($I$27:M27)</f>
        <v>98.2</v>
      </c>
      <c r="N32" s="82">
        <f>SUM($I$27:N27)/COUNT($I$27:N27)</f>
        <v>41.5</v>
      </c>
      <c r="O32" s="82">
        <f>SUM($I$27:O27)/COUNT($I$27:O27)</f>
        <v>62.428571428571431</v>
      </c>
      <c r="P32" s="82">
        <f>SUM($I$27:P27)/COUNT($I$27:P27)</f>
        <v>57.5</v>
      </c>
      <c r="Q32" s="82">
        <f>SUM($I$27:Q27)/COUNT($I$27:Q27)</f>
        <v>-8.7777777777777786</v>
      </c>
      <c r="R32" s="82">
        <f>SUM($I$27:R27)/COUNT($I$27:R27)</f>
        <v>-15.6</v>
      </c>
      <c r="S32" s="82">
        <f>SUM($I$27:S27)/COUNT($I$27:S27)</f>
        <v>-0.54545454545454541</v>
      </c>
      <c r="T32" s="82">
        <f>SUM($I$27:T27)/COUNT($I$27:T27)</f>
        <v>4.75</v>
      </c>
      <c r="U32" s="82">
        <f>SUM($I$27:U27)/COUNT($I$27:U27)</f>
        <v>5.1538461538461542</v>
      </c>
      <c r="V32" s="82">
        <f>SUM($I$27:V27)/COUNT($I$27:V27)</f>
        <v>6.9285714285714288</v>
      </c>
      <c r="W32" s="82">
        <f>SUM($I$27:W27)/COUNT($I$27:W27)</f>
        <v>7.5333333333333332</v>
      </c>
      <c r="X32" s="82">
        <f>SUM($I$27:X27)/COUNT($I$27:X27)</f>
        <v>7.875</v>
      </c>
      <c r="Y32" s="82">
        <f>SUM($I$27:Y27)/COUNT($I$27:Y27)</f>
        <v>16.823529411764707</v>
      </c>
      <c r="Z32" s="82">
        <f>SUM($I$27:Z27)/COUNT($I$27:Z27)</f>
        <v>3.5</v>
      </c>
      <c r="AA32" s="82">
        <f>SUM($I$27:AA27)/COUNT($I$27:AA27)</f>
        <v>21.842105263157894</v>
      </c>
      <c r="AB32" s="82">
        <f>SUM($I$27:AB27)/COUNT($I$27:AB27)</f>
        <v>32.15</v>
      </c>
      <c r="AC32" s="82">
        <f>SUM($I$27:AC27)/COUNT($I$27:AC27)</f>
        <v>30.61904761904762</v>
      </c>
      <c r="AD32" s="82">
        <f>SUM($I$27:AD27)/COUNT($I$27:AD27)</f>
        <v>22.681818181818183</v>
      </c>
      <c r="AE32" s="82">
        <f>SUM($I$27:AE27)/COUNT($I$27:AE27)</f>
        <v>21.086956521739129</v>
      </c>
      <c r="AF32" s="82">
        <f>SUM($I$27:AF27)/COUNT($I$27:AF27)</f>
        <v>12.416666666666666</v>
      </c>
      <c r="AG32" s="82">
        <f>SUM($I$27:AG27)/COUNT($I$27:AG27)</f>
        <v>10.6</v>
      </c>
      <c r="AH32" s="82">
        <f>SUM($I$27:AH27)/COUNT($I$27:AH27)</f>
        <v>2.1923076923076925</v>
      </c>
      <c r="AI32" s="82">
        <f>SUM($I$27:AI27)/COUNT($I$27:AI27)</f>
        <v>-8.5555555555555554</v>
      </c>
      <c r="AJ32" s="82">
        <f>SUM($I$27:AJ27)/COUNT($I$27:AJ27)</f>
        <v>-8.1428571428571423</v>
      </c>
      <c r="AK32" s="82">
        <f>SUM($I$27:AK27)/COUNT($I$27:AK27)</f>
        <v>31.448275862068964</v>
      </c>
      <c r="AL32" s="82">
        <f>SUM($I$27:AL27)/COUNT($I$27:AL27)</f>
        <v>64.900000000000006</v>
      </c>
      <c r="AM32" s="82">
        <f>SUM($I$27:AM27)/COUNT($I$27:AM27)</f>
        <v>101.2258064516129</v>
      </c>
      <c r="AN32" s="82">
        <f>SUM($I$27:AN27)/COUNT($I$27:AN27)</f>
        <v>127.96875</v>
      </c>
      <c r="AO32" s="82">
        <f>SUM($I$27:AO27)/COUNT($I$27:AO27)</f>
        <v>147.03030303030303</v>
      </c>
      <c r="AP32" s="82">
        <f>SUM($I$27:AP27)/COUNT($I$27:AP27)</f>
        <v>160.11764705882354</v>
      </c>
      <c r="AQ32" s="82">
        <f>SUM($I$27:AQ27)/COUNT($I$27:AQ27)</f>
        <v>175.6</v>
      </c>
      <c r="AR32" s="82">
        <f>SUM($I$27:AR27)/COUNT($I$27:AR27)</f>
        <v>175.86111111111111</v>
      </c>
      <c r="AS32" s="82">
        <f>SUM($I$27:AS27)/COUNT($I$27:AS27)</f>
        <v>160.35135135135135</v>
      </c>
      <c r="AT32" s="82">
        <f>SUM($I$27:AT27)/COUNT($I$27:AT27)</f>
        <v>152.23684210526315</v>
      </c>
      <c r="AU32" s="82">
        <f>SUM($I$27:AU27)/COUNT($I$27:AU27)</f>
        <v>160.53846153846155</v>
      </c>
      <c r="AV32" s="82">
        <f>SUM($I$27:AV27)/COUNT($I$27:AV27)</f>
        <v>153.15</v>
      </c>
      <c r="AW32" s="82">
        <f>SUM($I$27:AW27)/COUNT($I$27:AW27)</f>
        <v>155.26829268292684</v>
      </c>
      <c r="AX32" s="82">
        <f>SUM($I$27:AX27)/COUNT($I$27:AX27)</f>
        <v>142.54761904761904</v>
      </c>
      <c r="AY32" s="83">
        <f>SUM($AY$27:AY27)/COUNT($AY$27:AY27)</f>
        <v>-182</v>
      </c>
      <c r="AZ32" s="83">
        <f>SUM($AY$27:AZ27)/COUNT($AY$27:AZ27)</f>
        <v>31</v>
      </c>
      <c r="BA32" s="83">
        <f>SUM($AY$27:BA27)/COUNT($AY$27:BA27)</f>
        <v>51.666666666666664</v>
      </c>
      <c r="BB32" s="83">
        <f>SUM($AY$27:BB27)/COUNT($AY$27:BB27)</f>
        <v>-180</v>
      </c>
      <c r="BC32" s="83">
        <f>SUM($AY$27:BC27)/COUNT($AY$27:BC27)</f>
        <v>7.2</v>
      </c>
      <c r="BD32" s="83">
        <f>SUM($AY$27:BD27)/COUNT($AY$27:BD27)</f>
        <v>-23.833333333333332</v>
      </c>
      <c r="BE32" s="228">
        <f>SUM($AY$27:BE27)/COUNT($AY$27:BE27)</f>
        <v>9.1428571428571423</v>
      </c>
    </row>
    <row r="33" spans="1:57" ht="16" x14ac:dyDescent="0.2">
      <c r="A33" s="56" t="s">
        <v>38</v>
      </c>
      <c r="B33" s="73"/>
      <c r="C33" s="73"/>
      <c r="D33" s="73"/>
      <c r="E33" s="73"/>
      <c r="F33" s="73"/>
      <c r="G33" s="73"/>
      <c r="H33" s="73"/>
      <c r="I33" s="84">
        <f>SUM($I$28:I28)/COUNT($I$28:I28)</f>
        <v>306</v>
      </c>
      <c r="J33" s="84">
        <f>SUM($I$28:J28)/COUNT($I$28:J28)</f>
        <v>156.5</v>
      </c>
      <c r="K33" s="84">
        <f>SUM($I$28:K28)/COUNT($I$28:K28)</f>
        <v>141</v>
      </c>
      <c r="L33" s="84">
        <f>SUM($I$28:L28)/COUNT($I$28:L28)</f>
        <v>170.25</v>
      </c>
      <c r="M33" s="84">
        <f>SUM($I$28:M28)/COUNT($I$28:M28)</f>
        <v>174.2</v>
      </c>
      <c r="N33" s="84">
        <f>SUM($I$28:N28)/COUNT($I$28:N28)</f>
        <v>185.5</v>
      </c>
      <c r="O33" s="84">
        <f>SUM($I$28:O28)/COUNT($I$28:O28)</f>
        <v>185.85714285714286</v>
      </c>
      <c r="P33" s="84">
        <f>SUM($I$28:P28)/COUNT($I$28:P28)</f>
        <v>165.5</v>
      </c>
      <c r="Q33" s="84">
        <f>SUM($I$28:Q28)/COUNT($I$28:Q28)</f>
        <v>207</v>
      </c>
      <c r="R33" s="84">
        <f>SUM($I$28:R28)/COUNT($I$28:R28)</f>
        <v>194</v>
      </c>
      <c r="S33" s="84">
        <f>SUM($I$28:S28)/COUNT($I$28:S28)</f>
        <v>190</v>
      </c>
      <c r="T33" s="84">
        <f>SUM($I$28:T28)/COUNT($I$28:T28)</f>
        <v>179.41666666666666</v>
      </c>
      <c r="U33" s="84">
        <f>SUM($I$28:U28)/COUNT($I$28:U28)</f>
        <v>166.38461538461539</v>
      </c>
      <c r="V33" s="84">
        <f>SUM($I$28:V28)/COUNT($I$28:V28)</f>
        <v>156.64285714285714</v>
      </c>
      <c r="W33" s="84">
        <f>SUM($I$28:W28)/COUNT($I$28:W28)</f>
        <v>147.26666666666668</v>
      </c>
      <c r="X33" s="84">
        <f>SUM($I$28:X28)/COUNT($I$28:X28)</f>
        <v>138.875</v>
      </c>
      <c r="Y33" s="84">
        <f>SUM($I$28:Y28)/COUNT($I$28:Y28)</f>
        <v>140.11764705882354</v>
      </c>
      <c r="Z33" s="84">
        <f>SUM($I$28:Z28)/COUNT($I$28:Z28)</f>
        <v>144.72222222222223</v>
      </c>
      <c r="AA33" s="84">
        <f>SUM($I$28:AA28)/COUNT($I$28:AA28)</f>
        <v>155.63157894736841</v>
      </c>
      <c r="AB33" s="84">
        <f>SUM($I$28:AB28)/COUNT($I$28:AB28)</f>
        <v>159.25</v>
      </c>
      <c r="AC33" s="84">
        <f>SUM($I$28:AC28)/COUNT($I$28:AC28)</f>
        <v>151.66666666666666</v>
      </c>
      <c r="AD33" s="84">
        <f>SUM($I$28:AD28)/COUNT($I$28:AD28)</f>
        <v>151.31818181818181</v>
      </c>
      <c r="AE33" s="84">
        <f>SUM($I$28:AE28)/COUNT($I$28:AE28)</f>
        <v>145.34782608695653</v>
      </c>
      <c r="AF33" s="84">
        <f>SUM($I$28:AF28)/COUNT($I$28:AF28)</f>
        <v>147.08333333333334</v>
      </c>
      <c r="AG33" s="84">
        <f>SUM($I$28:AG28)/COUNT($I$28:AG28)</f>
        <v>142.52000000000001</v>
      </c>
      <c r="AH33" s="84">
        <f>SUM($I$28:AH28)/COUNT($I$28:AH28)</f>
        <v>145.03846153846155</v>
      </c>
      <c r="AI33" s="84">
        <f>SUM($I$28:AI28)/COUNT($I$28:AI28)</f>
        <v>150.33333333333334</v>
      </c>
      <c r="AJ33" s="84">
        <f>SUM($I$28:AJ28)/COUNT($I$28:AJ28)</f>
        <v>145.07142857142858</v>
      </c>
      <c r="AK33" s="84">
        <f>SUM($I$28:AK28)/COUNT($I$28:AK28)</f>
        <v>179.37931034482759</v>
      </c>
      <c r="AL33" s="84">
        <f>SUM($I$28:AL28)/COUNT($I$28:AL28)</f>
        <v>207.9</v>
      </c>
      <c r="AM33" s="84">
        <f>SUM($I$28:AM28)/COUNT($I$28:AM28)</f>
        <v>239.61290322580646</v>
      </c>
      <c r="AN33" s="84">
        <f>SUM($I$28:AN28)/COUNT($I$28:AN28)</f>
        <v>262.03125</v>
      </c>
      <c r="AO33" s="84">
        <f>SUM($I$28:AO28)/COUNT($I$28:AO28)</f>
        <v>277.030303030303</v>
      </c>
      <c r="AP33" s="84">
        <f>SUM($I$28:AP28)/COUNT($I$28:AP28)</f>
        <v>286.29411764705884</v>
      </c>
      <c r="AQ33" s="84">
        <f>SUM($I$28:AQ28)/COUNT($I$28:AQ28)</f>
        <v>298.17142857142858</v>
      </c>
      <c r="AR33" s="84">
        <f>SUM($I$28:AR28)/COUNT($I$28:AR28)</f>
        <v>295.02777777777777</v>
      </c>
      <c r="AS33" s="84">
        <f>SUM($I$28:AS28)/COUNT($I$28:AS28)</f>
        <v>297.81081081081084</v>
      </c>
      <c r="AT33" s="84">
        <f>SUM($I$28:AT28)/COUNT($I$28:AT28)</f>
        <v>293.86842105263156</v>
      </c>
      <c r="AU33" s="84">
        <f>SUM($I$28:AU28)/COUNT($I$28:AU28)</f>
        <v>298.53846153846155</v>
      </c>
      <c r="AV33" s="84">
        <f>SUM($I$28:AV28)/COUNT($I$28:AV28)</f>
        <v>294.45</v>
      </c>
      <c r="AW33" s="84">
        <f>SUM($I$28:AW28)/COUNT($I$28:AW28)</f>
        <v>293.1219512195122</v>
      </c>
      <c r="AX33" s="84">
        <f>SUM($I$28:AX28)/COUNT($I$28:AX28)</f>
        <v>295.16666666666669</v>
      </c>
      <c r="AY33" s="229">
        <f>SUM($AY$28:AY28)/COUNT($AY$28:AY28)</f>
        <v>182</v>
      </c>
      <c r="AZ33" s="229">
        <f>SUM($AY$28:AZ28)/COUNT($AY$28:AZ28)</f>
        <v>213</v>
      </c>
      <c r="BA33" s="229">
        <f>SUM($AY$28:BA28)/COUNT($AY$28:BA28)</f>
        <v>173</v>
      </c>
      <c r="BB33" s="229">
        <f>SUM($AY$28:BB28)/COUNT($AY$28:BB28)</f>
        <v>348.5</v>
      </c>
      <c r="BC33" s="229">
        <f>SUM($AY$28:BC28)/COUNT($AY$28:BC28)</f>
        <v>430</v>
      </c>
      <c r="BD33" s="229">
        <f>SUM($AY$28:BD28)/COUNT($AY$28:BD28)</f>
        <v>388.16666666666669</v>
      </c>
      <c r="BE33" s="230">
        <f>SUM($AY$28:BE28)/COUNT($AY$28:BE28)</f>
        <v>362.28571428571428</v>
      </c>
    </row>
    <row r="34" spans="1:57" ht="16" x14ac:dyDescent="0.2">
      <c r="A34" s="56" t="s">
        <v>39</v>
      </c>
      <c r="B34" s="73"/>
      <c r="C34" s="73"/>
      <c r="D34" s="73"/>
      <c r="E34" s="73"/>
      <c r="F34" s="73"/>
      <c r="G34" s="73"/>
      <c r="H34" s="73"/>
      <c r="I34" s="84">
        <f>SUM($I$29:I29)/COUNT($I$29:I29)</f>
        <v>93636</v>
      </c>
      <c r="J34" s="84">
        <f>SUM($I$29:J29)/COUNT($I$29:J29)</f>
        <v>46842.5</v>
      </c>
      <c r="K34" s="84">
        <f>SUM($I$29:K29)/COUNT($I$29:K29)</f>
        <v>35261.666666666664</v>
      </c>
      <c r="L34" s="84">
        <f>SUM($I$29:L29)/COUNT($I$29:L29)</f>
        <v>43087.25</v>
      </c>
      <c r="M34" s="84">
        <f>SUM($I$29:M29)/COUNT($I$29:M29)</f>
        <v>41689.800000000003</v>
      </c>
      <c r="N34" s="84">
        <f>SUM($I$29:N29)/COUNT($I$29:N29)</f>
        <v>44502.166666666664</v>
      </c>
      <c r="O34" s="84">
        <f>SUM($I$29:O29)/COUNT($I$29:O29)</f>
        <v>43193.857142857145</v>
      </c>
      <c r="P34" s="84">
        <f>SUM($I$29:P29)/COUNT($I$29:P29)</f>
        <v>37860.75</v>
      </c>
      <c r="Q34" s="84">
        <f>SUM($I$29:Q29)/COUNT($I$29:Q29)</f>
        <v>65934.111111111109</v>
      </c>
      <c r="R34" s="84">
        <f>SUM($I$29:R29)/COUNT($I$29:R29)</f>
        <v>59933.599999999999</v>
      </c>
      <c r="S34" s="84">
        <f>SUM($I$29:S29)/COUNT($I$29:S29)</f>
        <v>56530.545454545456</v>
      </c>
      <c r="T34" s="84">
        <f>SUM($I$29:T29)/COUNT($I$29:T29)</f>
        <v>52150.416666666664</v>
      </c>
      <c r="U34" s="84">
        <f>SUM($I$29:U29)/COUNT($I$29:U29)</f>
        <v>48146.538461538461</v>
      </c>
      <c r="V34" s="84">
        <f>SUM($I$29:V29)/COUNT($I$29:V29)</f>
        <v>44771.785714285717</v>
      </c>
      <c r="W34" s="84">
        <f>SUM($I$29:W29)/COUNT($I$29:W29)</f>
        <v>41804.066666666666</v>
      </c>
      <c r="X34" s="84">
        <f>SUM($I$29:X29)/COUNT($I$29:X29)</f>
        <v>39201.875</v>
      </c>
      <c r="Y34" s="84">
        <f>SUM($I$29:Y29)/COUNT($I$29:Y29)</f>
        <v>38401.76470588235</v>
      </c>
      <c r="Z34" s="84">
        <f>SUM($I$29:Z29)/COUNT($I$29:Z29)</f>
        <v>39031.055555555555</v>
      </c>
      <c r="AA34" s="84">
        <f>SUM($I$29:AA29)/COUNT($I$29:AA29)</f>
        <v>43498.052631578947</v>
      </c>
      <c r="AB34" s="84">
        <f>SUM($I$29:AB29)/COUNT($I$29:AB29)</f>
        <v>43922.35</v>
      </c>
      <c r="AC34" s="84">
        <f>SUM($I$29:AC29)/COUNT($I$29:AC29)</f>
        <v>41830.809523809527</v>
      </c>
      <c r="AD34" s="84">
        <f>SUM($I$29:AD29)/COUNT($I$29:AD29)</f>
        <v>40871.954545454544</v>
      </c>
      <c r="AE34" s="84">
        <f>SUM($I$29:AE29)/COUNT($I$29:AE29)</f>
        <v>39103.434782608696</v>
      </c>
      <c r="AF34" s="84">
        <f>SUM($I$29:AF29)/COUNT($I$29:AF29)</f>
        <v>38931.166666666664</v>
      </c>
      <c r="AG34" s="84">
        <f>SUM($I$29:AG29)/COUNT($I$29:AG29)</f>
        <v>37417.480000000003</v>
      </c>
      <c r="AH34" s="84">
        <f>SUM($I$29:AH29)/COUNT($I$29:AH29)</f>
        <v>37642.346153846156</v>
      </c>
      <c r="AI34" s="84">
        <f>SUM($I$29:AI29)/COUNT($I$29:AI29)</f>
        <v>39320.185185185182</v>
      </c>
      <c r="AJ34" s="84">
        <f>SUM($I$29:AJ29)/COUNT($I$29:AJ29)</f>
        <v>37916.214285714283</v>
      </c>
      <c r="AK34" s="84">
        <f>SUM($I$29:AK29)/COUNT($I$29:AK29)</f>
        <v>81422.551724137928</v>
      </c>
      <c r="AL34" s="84">
        <f>SUM($I$29:AL29)/COUNT($I$29:AL29)</f>
        <v>114415.96666666666</v>
      </c>
      <c r="AM34" s="84">
        <f>SUM($I$29:AM29)/COUNT($I$29:AM29)</f>
        <v>156482.5806451613</v>
      </c>
      <c r="AN34" s="84">
        <f>SUM($I$29:AN29)/COUNT($I$29:AN29)</f>
        <v>180212.78125</v>
      </c>
      <c r="AO34" s="84">
        <f>SUM($I$29:AO29)/COUNT($I$29:AO29)</f>
        <v>192116.90909090909</v>
      </c>
      <c r="AP34" s="84">
        <f>SUM($I$29:AP29)/COUNT($I$29:AP29)</f>
        <v>196774.17647058822</v>
      </c>
      <c r="AQ34" s="84">
        <f>SUM($I$29:AQ29)/COUNT($I$29:AQ29)</f>
        <v>205232.17142857143</v>
      </c>
      <c r="AR34" s="84">
        <f>SUM($I$29:AR29)/COUNT($I$29:AR29)</f>
        <v>200481.97222222222</v>
      </c>
      <c r="AS34" s="84">
        <f>SUM($I$29:AS29)/COUNT($I$29:AS29)</f>
        <v>199344.72972972973</v>
      </c>
      <c r="AT34" s="84">
        <f>SUM($I$29:AT29)/COUNT($I$29:AT29)</f>
        <v>194675.23684210525</v>
      </c>
      <c r="AU34" s="84">
        <f>SUM($I$29:AU29)/COUNT($I$29:AU29)</f>
        <v>195493.20512820513</v>
      </c>
      <c r="AV34" s="84">
        <f>SUM($I$29:AV29)/COUNT($I$29:AV29)</f>
        <v>191061.5</v>
      </c>
      <c r="AW34" s="84">
        <f>SUM($I$29:AW29)/COUNT($I$29:AW29)</f>
        <v>187806.34146341463</v>
      </c>
      <c r="AX34" s="84">
        <f>SUM($I$29:AX29)/COUNT($I$29:AX29)</f>
        <v>186754.78571428571</v>
      </c>
      <c r="AY34" s="229">
        <f>SUM($AY$29:AY29)/COUNT($AY$29:AY29)</f>
        <v>33124</v>
      </c>
      <c r="AZ34" s="229">
        <f>SUM($AY$29:AZ29)/COUNT($AY$29:AZ29)</f>
        <v>46330</v>
      </c>
      <c r="BA34" s="229">
        <f>SUM($AY$29:BA29)/COUNT($AY$29:BA29)</f>
        <v>33769.666666666664</v>
      </c>
      <c r="BB34" s="229">
        <f>SUM($AY$29:BB29)/COUNT($AY$29:BB29)</f>
        <v>216733.5</v>
      </c>
      <c r="BC34" s="229">
        <f>SUM($AY$29:BC29)/COUNT($AY$29:BC29)</f>
        <v>287694</v>
      </c>
      <c r="BD34" s="229">
        <f>SUM($AY$29:BD29)/COUNT($AY$29:BD29)</f>
        <v>245085.16666666666</v>
      </c>
      <c r="BE34" s="230">
        <f>SUM($AY$29:BE29)/COUNT($AY$29:BE29)</f>
        <v>216194.28571428571</v>
      </c>
    </row>
    <row r="35" spans="1:57" ht="17" thickBot="1" x14ac:dyDescent="0.25">
      <c r="A35" s="57" t="s">
        <v>40</v>
      </c>
      <c r="B35" s="76"/>
      <c r="C35" s="76"/>
      <c r="D35" s="76"/>
      <c r="E35" s="76"/>
      <c r="F35" s="76"/>
      <c r="G35" s="76"/>
      <c r="H35" s="76"/>
      <c r="I35" s="85">
        <f>SQRT(I34)</f>
        <v>306</v>
      </c>
      <c r="J35" s="85">
        <f t="shared" ref="J35:BE35" si="6">SQRT(J34)</f>
        <v>216.431282396977</v>
      </c>
      <c r="K35" s="85">
        <f t="shared" si="6"/>
        <v>187.78090069723987</v>
      </c>
      <c r="L35" s="85">
        <f t="shared" si="6"/>
        <v>207.57468535445261</v>
      </c>
      <c r="M35" s="85">
        <f t="shared" si="6"/>
        <v>204.18080223174755</v>
      </c>
      <c r="N35" s="85">
        <f t="shared" si="6"/>
        <v>210.95536652729805</v>
      </c>
      <c r="O35" s="85">
        <f t="shared" si="6"/>
        <v>207.8313189653021</v>
      </c>
      <c r="P35" s="85">
        <f t="shared" si="6"/>
        <v>194.57839037262076</v>
      </c>
      <c r="Q35" s="85">
        <f t="shared" si="6"/>
        <v>256.77638347618949</v>
      </c>
      <c r="R35" s="85">
        <f t="shared" si="6"/>
        <v>244.8133983261537</v>
      </c>
      <c r="S35" s="85">
        <f t="shared" si="6"/>
        <v>237.76153064477327</v>
      </c>
      <c r="T35" s="85">
        <f t="shared" si="6"/>
        <v>228.36465721881453</v>
      </c>
      <c r="U35" s="85">
        <f t="shared" si="6"/>
        <v>219.42319490322453</v>
      </c>
      <c r="V35" s="85">
        <f t="shared" si="6"/>
        <v>211.5934444029061</v>
      </c>
      <c r="W35" s="85">
        <f t="shared" si="6"/>
        <v>204.46042811915137</v>
      </c>
      <c r="X35" s="85">
        <f t="shared" si="6"/>
        <v>197.99463376566547</v>
      </c>
      <c r="Y35" s="85">
        <f t="shared" si="6"/>
        <v>195.96368210942137</v>
      </c>
      <c r="Z35" s="85">
        <f t="shared" si="6"/>
        <v>197.56278889395026</v>
      </c>
      <c r="AA35" s="85">
        <f t="shared" si="6"/>
        <v>208.56186763543079</v>
      </c>
      <c r="AB35" s="85">
        <f t="shared" si="6"/>
        <v>209.57659697590282</v>
      </c>
      <c r="AC35" s="85">
        <f t="shared" si="6"/>
        <v>204.52581627708892</v>
      </c>
      <c r="AD35" s="85">
        <f t="shared" si="6"/>
        <v>202.16813434726686</v>
      </c>
      <c r="AE35" s="85">
        <f t="shared" si="6"/>
        <v>197.74588436326226</v>
      </c>
      <c r="AF35" s="85">
        <f t="shared" si="6"/>
        <v>197.30982405006262</v>
      </c>
      <c r="AG35" s="85">
        <f t="shared" si="6"/>
        <v>193.43598424284971</v>
      </c>
      <c r="AH35" s="85">
        <f t="shared" si="6"/>
        <v>194.01635537718502</v>
      </c>
      <c r="AI35" s="85">
        <f t="shared" si="6"/>
        <v>198.2931798756205</v>
      </c>
      <c r="AJ35" s="85">
        <f t="shared" si="6"/>
        <v>194.7208624819495</v>
      </c>
      <c r="AK35" s="85">
        <f t="shared" si="6"/>
        <v>285.34637149285413</v>
      </c>
      <c r="AL35" s="85">
        <f t="shared" si="6"/>
        <v>338.25429290205125</v>
      </c>
      <c r="AM35" s="85">
        <f t="shared" si="6"/>
        <v>395.57879195573832</v>
      </c>
      <c r="AN35" s="85">
        <f t="shared" si="6"/>
        <v>424.51475975518213</v>
      </c>
      <c r="AO35" s="85">
        <f t="shared" si="6"/>
        <v>438.31142934095283</v>
      </c>
      <c r="AP35" s="85">
        <f t="shared" si="6"/>
        <v>443.59235393612028</v>
      </c>
      <c r="AQ35" s="85">
        <f t="shared" si="6"/>
        <v>453.02557480629218</v>
      </c>
      <c r="AR35" s="85">
        <f t="shared" si="6"/>
        <v>447.75213257138398</v>
      </c>
      <c r="AS35" s="85">
        <f t="shared" si="6"/>
        <v>446.48038000535894</v>
      </c>
      <c r="AT35" s="85">
        <f t="shared" si="6"/>
        <v>441.2201682177564</v>
      </c>
      <c r="AU35" s="85">
        <f t="shared" si="6"/>
        <v>442.14613548939349</v>
      </c>
      <c r="AV35" s="85">
        <f t="shared" si="6"/>
        <v>437.1058224274758</v>
      </c>
      <c r="AW35" s="85">
        <f t="shared" si="6"/>
        <v>433.36629017889084</v>
      </c>
      <c r="AX35" s="85">
        <f t="shared" si="6"/>
        <v>432.15134584342752</v>
      </c>
      <c r="AY35" s="86">
        <f t="shared" si="6"/>
        <v>182</v>
      </c>
      <c r="AZ35" s="86">
        <f t="shared" si="6"/>
        <v>215.24404753674375</v>
      </c>
      <c r="BA35" s="86">
        <f t="shared" si="6"/>
        <v>183.76524880038301</v>
      </c>
      <c r="BB35" s="86">
        <f t="shared" si="6"/>
        <v>465.54645310645424</v>
      </c>
      <c r="BC35" s="86">
        <f t="shared" si="6"/>
        <v>536.37114016322687</v>
      </c>
      <c r="BD35" s="86">
        <f t="shared" si="6"/>
        <v>495.06077068039502</v>
      </c>
      <c r="BE35" s="231">
        <f t="shared" si="6"/>
        <v>464.96697271342373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91D9-5680-C642-B65D-84549573CD1A}">
  <sheetPr>
    <tabColor theme="7" tint="0.59999389629810485"/>
  </sheetPr>
  <dimension ref="A1:BE84"/>
  <sheetViews>
    <sheetView zoomScale="50" zoomScaleNormal="60" workbookViewId="0">
      <pane ySplit="1" topLeftCell="A2" activePane="bottomLeft" state="frozen"/>
      <selection pane="bottomLeft" activeCell="AE7" sqref="AE7"/>
    </sheetView>
  </sheetViews>
  <sheetFormatPr baseColWidth="10" defaultRowHeight="15" x14ac:dyDescent="0.2"/>
  <cols>
    <col min="1" max="1" width="44.33203125" style="4" customWidth="1"/>
    <col min="2" max="2" width="11.6640625" style="4" bestFit="1" customWidth="1"/>
    <col min="3" max="7" width="10.83203125" style="4"/>
    <col min="8" max="8" width="11.6640625" style="4" bestFit="1" customWidth="1"/>
    <col min="9" max="36" width="15.1640625" style="4" bestFit="1" customWidth="1"/>
    <col min="37" max="37" width="15.5" style="4" bestFit="1" customWidth="1"/>
    <col min="38" max="50" width="16.33203125" style="4" bestFit="1" customWidth="1"/>
    <col min="51" max="54" width="15.1640625" style="4" bestFit="1" customWidth="1"/>
    <col min="55" max="56" width="16.33203125" style="4" bestFit="1" customWidth="1"/>
    <col min="57" max="16384" width="10.83203125" style="4"/>
  </cols>
  <sheetData>
    <row r="1" spans="1:57" ht="16" x14ac:dyDescent="0.2">
      <c r="A1" s="81" t="s">
        <v>1</v>
      </c>
      <c r="B1" s="65">
        <v>45778</v>
      </c>
      <c r="C1" s="66">
        <v>45779</v>
      </c>
      <c r="D1" s="66">
        <v>45780</v>
      </c>
      <c r="E1" s="66">
        <v>45781</v>
      </c>
      <c r="F1" s="66">
        <v>45782</v>
      </c>
      <c r="G1" s="66">
        <v>45783</v>
      </c>
      <c r="H1" s="66">
        <v>45784</v>
      </c>
      <c r="I1" s="66">
        <v>45785</v>
      </c>
      <c r="J1" s="66">
        <v>45786</v>
      </c>
      <c r="K1" s="66">
        <v>45787</v>
      </c>
      <c r="L1" s="66">
        <v>45788</v>
      </c>
      <c r="M1" s="66">
        <v>45789</v>
      </c>
      <c r="N1" s="66">
        <v>45790</v>
      </c>
      <c r="O1" s="66">
        <v>45791</v>
      </c>
      <c r="P1" s="66">
        <v>45792</v>
      </c>
      <c r="Q1" s="66">
        <v>45793</v>
      </c>
      <c r="R1" s="66">
        <v>45794</v>
      </c>
      <c r="S1" s="66">
        <v>45795</v>
      </c>
      <c r="T1" s="66">
        <v>45796</v>
      </c>
      <c r="U1" s="66">
        <v>45797</v>
      </c>
      <c r="V1" s="66">
        <v>45798</v>
      </c>
      <c r="W1" s="66">
        <v>45799</v>
      </c>
      <c r="X1" s="66">
        <v>45800</v>
      </c>
      <c r="Y1" s="66">
        <v>45801</v>
      </c>
      <c r="Z1" s="66">
        <v>45802</v>
      </c>
      <c r="AA1" s="66">
        <v>45803</v>
      </c>
      <c r="AB1" s="66">
        <v>45804</v>
      </c>
      <c r="AC1" s="66">
        <v>45805</v>
      </c>
      <c r="AD1" s="66">
        <v>45806</v>
      </c>
      <c r="AE1" s="66">
        <v>45807</v>
      </c>
      <c r="AF1" s="66">
        <v>45808</v>
      </c>
      <c r="AG1" s="66">
        <v>45809</v>
      </c>
      <c r="AH1" s="66">
        <v>45810</v>
      </c>
      <c r="AI1" s="66">
        <v>45811</v>
      </c>
      <c r="AJ1" s="66">
        <v>45812</v>
      </c>
      <c r="AK1" s="66">
        <v>45813</v>
      </c>
      <c r="AL1" s="66">
        <v>45814</v>
      </c>
      <c r="AM1" s="66">
        <v>45815</v>
      </c>
      <c r="AN1" s="66">
        <v>45816</v>
      </c>
      <c r="AO1" s="66">
        <v>45817</v>
      </c>
      <c r="AP1" s="66">
        <v>45818</v>
      </c>
      <c r="AQ1" s="66">
        <v>45819</v>
      </c>
      <c r="AR1" s="66">
        <v>45820</v>
      </c>
      <c r="AS1" s="66">
        <v>45821</v>
      </c>
      <c r="AT1" s="66">
        <v>45822</v>
      </c>
      <c r="AU1" s="66">
        <v>45823</v>
      </c>
      <c r="AV1" s="66">
        <v>45824</v>
      </c>
      <c r="AW1" s="66">
        <v>45825</v>
      </c>
      <c r="AX1" s="66">
        <v>45826</v>
      </c>
      <c r="AY1" s="66">
        <v>45827</v>
      </c>
      <c r="AZ1" s="66">
        <v>45828</v>
      </c>
      <c r="BA1" s="66">
        <v>45829</v>
      </c>
      <c r="BB1" s="66">
        <v>45830</v>
      </c>
      <c r="BC1" s="66">
        <v>45831</v>
      </c>
      <c r="BD1" s="66">
        <v>45832</v>
      </c>
      <c r="BE1" s="67">
        <v>45833</v>
      </c>
    </row>
    <row r="2" spans="1:57" ht="17" thickBot="1" x14ac:dyDescent="0.25">
      <c r="A2" s="57" t="s">
        <v>31</v>
      </c>
      <c r="B2" s="68" cm="1">
        <f t="array" ref="B2:BE2">TRANSPOSE(Data!C5:C60)</f>
        <v>1576</v>
      </c>
      <c r="C2" s="69">
        <v>2299</v>
      </c>
      <c r="D2" s="69">
        <v>1878</v>
      </c>
      <c r="E2" s="69">
        <v>1628</v>
      </c>
      <c r="F2" s="69">
        <v>1555</v>
      </c>
      <c r="G2" s="69">
        <v>1240</v>
      </c>
      <c r="H2" s="69">
        <v>864</v>
      </c>
      <c r="I2" s="69">
        <v>1882</v>
      </c>
      <c r="J2" s="69">
        <v>2306</v>
      </c>
      <c r="K2" s="69">
        <v>1988</v>
      </c>
      <c r="L2" s="69">
        <v>1886</v>
      </c>
      <c r="M2" s="69">
        <v>1365</v>
      </c>
      <c r="N2" s="69">
        <v>998</v>
      </c>
      <c r="O2" s="69">
        <v>1052</v>
      </c>
      <c r="P2" s="69">
        <v>1905</v>
      </c>
      <c r="Q2" s="69">
        <v>1767</v>
      </c>
      <c r="R2" s="69">
        <v>1911</v>
      </c>
      <c r="S2" s="69">
        <v>2036</v>
      </c>
      <c r="T2" s="69">
        <v>1428</v>
      </c>
      <c r="U2" s="69">
        <v>1008</v>
      </c>
      <c r="V2" s="69">
        <v>1082</v>
      </c>
      <c r="W2" s="69">
        <v>1921</v>
      </c>
      <c r="X2" s="69">
        <v>1780</v>
      </c>
      <c r="Y2" s="69">
        <v>2071</v>
      </c>
      <c r="Z2" s="69">
        <v>1813</v>
      </c>
      <c r="AA2" s="69">
        <v>1780</v>
      </c>
      <c r="AB2" s="69">
        <v>1236</v>
      </c>
      <c r="AC2" s="69">
        <v>1082</v>
      </c>
      <c r="AD2" s="69">
        <v>1777</v>
      </c>
      <c r="AE2" s="69">
        <v>1766</v>
      </c>
      <c r="AF2" s="69">
        <v>1884</v>
      </c>
      <c r="AG2" s="69">
        <v>1780</v>
      </c>
      <c r="AH2" s="69">
        <v>1572</v>
      </c>
      <c r="AI2" s="69">
        <v>948</v>
      </c>
      <c r="AJ2" s="69">
        <v>1085</v>
      </c>
      <c r="AK2" s="69">
        <v>2917</v>
      </c>
      <c r="AL2" s="69">
        <v>2801</v>
      </c>
      <c r="AM2" s="69">
        <v>3075</v>
      </c>
      <c r="AN2" s="69">
        <v>2737</v>
      </c>
      <c r="AO2" s="69">
        <v>2329</v>
      </c>
      <c r="AP2" s="69">
        <v>1540</v>
      </c>
      <c r="AQ2" s="69">
        <v>1787</v>
      </c>
      <c r="AR2" s="69">
        <v>3102</v>
      </c>
      <c r="AS2" s="69">
        <v>2403</v>
      </c>
      <c r="AT2" s="69">
        <v>2927</v>
      </c>
      <c r="AU2" s="69">
        <v>3213</v>
      </c>
      <c r="AV2" s="69">
        <v>2194</v>
      </c>
      <c r="AW2" s="69">
        <v>1780</v>
      </c>
      <c r="AX2" s="69">
        <v>1408</v>
      </c>
      <c r="AY2" s="69">
        <v>2920</v>
      </c>
      <c r="AZ2" s="69">
        <v>2647</v>
      </c>
      <c r="BA2" s="69">
        <v>3020</v>
      </c>
      <c r="BB2" s="69">
        <v>2338</v>
      </c>
      <c r="BC2" s="69">
        <v>2950</v>
      </c>
      <c r="BD2" s="69">
        <v>1601</v>
      </c>
      <c r="BE2" s="70">
        <v>1615</v>
      </c>
    </row>
    <row r="22" spans="1:57" ht="16" thickBot="1" x14ac:dyDescent="0.25"/>
    <row r="23" spans="1:57" ht="16" x14ac:dyDescent="0.2">
      <c r="A23" s="81" t="s">
        <v>1</v>
      </c>
      <c r="B23" s="64">
        <v>45778</v>
      </c>
      <c r="C23" s="64">
        <v>45779</v>
      </c>
      <c r="D23" s="64">
        <v>45780</v>
      </c>
      <c r="E23" s="64">
        <v>45781</v>
      </c>
      <c r="F23" s="64">
        <v>45782</v>
      </c>
      <c r="G23" s="64">
        <v>45783</v>
      </c>
      <c r="H23" s="64">
        <v>45784</v>
      </c>
      <c r="I23" s="64">
        <v>45785</v>
      </c>
      <c r="J23" s="64">
        <v>45786</v>
      </c>
      <c r="K23" s="64">
        <v>45787</v>
      </c>
      <c r="L23" s="64">
        <v>45788</v>
      </c>
      <c r="M23" s="64">
        <v>45789</v>
      </c>
      <c r="N23" s="64">
        <v>45790</v>
      </c>
      <c r="O23" s="64">
        <v>45791</v>
      </c>
      <c r="P23" s="64">
        <v>45792</v>
      </c>
      <c r="Q23" s="64">
        <v>45793</v>
      </c>
      <c r="R23" s="64">
        <v>45794</v>
      </c>
      <c r="S23" s="64">
        <v>45795</v>
      </c>
      <c r="T23" s="64">
        <v>45796</v>
      </c>
      <c r="U23" s="64">
        <v>45797</v>
      </c>
      <c r="V23" s="64">
        <v>45798</v>
      </c>
      <c r="W23" s="64">
        <v>45799</v>
      </c>
      <c r="X23" s="64">
        <v>45800</v>
      </c>
      <c r="Y23" s="64">
        <v>45801</v>
      </c>
      <c r="Z23" s="64">
        <v>45802</v>
      </c>
      <c r="AA23" s="64">
        <v>45803</v>
      </c>
      <c r="AB23" s="64">
        <v>45804</v>
      </c>
      <c r="AC23" s="64">
        <v>45805</v>
      </c>
      <c r="AD23" s="64">
        <v>45806</v>
      </c>
      <c r="AE23" s="64">
        <v>45807</v>
      </c>
      <c r="AF23" s="64">
        <v>45808</v>
      </c>
      <c r="AG23" s="64">
        <v>45809</v>
      </c>
      <c r="AH23" s="64">
        <v>45810</v>
      </c>
      <c r="AI23" s="64">
        <v>45811</v>
      </c>
      <c r="AJ23" s="64">
        <v>45812</v>
      </c>
      <c r="AK23" s="64">
        <v>45813</v>
      </c>
      <c r="AL23" s="64">
        <v>45814</v>
      </c>
      <c r="AM23" s="64">
        <v>45815</v>
      </c>
      <c r="AN23" s="64">
        <v>45816</v>
      </c>
      <c r="AO23" s="64">
        <v>45817</v>
      </c>
      <c r="AP23" s="64">
        <v>45818</v>
      </c>
      <c r="AQ23" s="64">
        <v>45819</v>
      </c>
      <c r="AR23" s="64">
        <v>45820</v>
      </c>
      <c r="AS23" s="64">
        <v>45821</v>
      </c>
      <c r="AT23" s="64">
        <v>45822</v>
      </c>
      <c r="AU23" s="64">
        <v>45823</v>
      </c>
      <c r="AV23" s="64">
        <v>45824</v>
      </c>
      <c r="AW23" s="64">
        <v>45825</v>
      </c>
      <c r="AX23" s="64">
        <v>45826</v>
      </c>
      <c r="AY23" s="71">
        <v>45827</v>
      </c>
      <c r="AZ23" s="71">
        <v>45828</v>
      </c>
      <c r="BA23" s="71">
        <v>45829</v>
      </c>
      <c r="BB23" s="71">
        <v>45830</v>
      </c>
      <c r="BC23" s="71">
        <v>45831</v>
      </c>
      <c r="BD23" s="71">
        <v>45832</v>
      </c>
      <c r="BE23" s="72">
        <v>45833</v>
      </c>
    </row>
    <row r="24" spans="1:57" ht="16" x14ac:dyDescent="0.2">
      <c r="A24" s="56" t="s">
        <v>41</v>
      </c>
      <c r="B24" s="73">
        <f>B2</f>
        <v>1576</v>
      </c>
      <c r="C24" s="73">
        <f t="shared" ref="C24:AX24" si="0">C2</f>
        <v>2299</v>
      </c>
      <c r="D24" s="73">
        <f t="shared" si="0"/>
        <v>1878</v>
      </c>
      <c r="E24" s="73">
        <f t="shared" si="0"/>
        <v>1628</v>
      </c>
      <c r="F24" s="73">
        <f t="shared" si="0"/>
        <v>1555</v>
      </c>
      <c r="G24" s="73">
        <f t="shared" si="0"/>
        <v>1240</v>
      </c>
      <c r="H24" s="73">
        <f t="shared" si="0"/>
        <v>864</v>
      </c>
      <c r="I24" s="73">
        <f t="shared" si="0"/>
        <v>1882</v>
      </c>
      <c r="J24" s="73">
        <f t="shared" si="0"/>
        <v>2306</v>
      </c>
      <c r="K24" s="73">
        <f t="shared" si="0"/>
        <v>1988</v>
      </c>
      <c r="L24" s="73">
        <f t="shared" si="0"/>
        <v>1886</v>
      </c>
      <c r="M24" s="73">
        <f t="shared" si="0"/>
        <v>1365</v>
      </c>
      <c r="N24" s="73">
        <f t="shared" si="0"/>
        <v>998</v>
      </c>
      <c r="O24" s="73">
        <f t="shared" si="0"/>
        <v>1052</v>
      </c>
      <c r="P24" s="73">
        <f t="shared" si="0"/>
        <v>1905</v>
      </c>
      <c r="Q24" s="73">
        <f t="shared" si="0"/>
        <v>1767</v>
      </c>
      <c r="R24" s="73">
        <f t="shared" si="0"/>
        <v>1911</v>
      </c>
      <c r="S24" s="73">
        <f t="shared" si="0"/>
        <v>2036</v>
      </c>
      <c r="T24" s="73">
        <f t="shared" si="0"/>
        <v>1428</v>
      </c>
      <c r="U24" s="73">
        <f t="shared" si="0"/>
        <v>1008</v>
      </c>
      <c r="V24" s="73">
        <f t="shared" si="0"/>
        <v>1082</v>
      </c>
      <c r="W24" s="73">
        <f t="shared" si="0"/>
        <v>1921</v>
      </c>
      <c r="X24" s="73">
        <f t="shared" si="0"/>
        <v>1780</v>
      </c>
      <c r="Y24" s="73">
        <f t="shared" si="0"/>
        <v>2071</v>
      </c>
      <c r="Z24" s="73">
        <f t="shared" si="0"/>
        <v>1813</v>
      </c>
      <c r="AA24" s="73">
        <f t="shared" si="0"/>
        <v>1780</v>
      </c>
      <c r="AB24" s="73">
        <f t="shared" si="0"/>
        <v>1236</v>
      </c>
      <c r="AC24" s="73">
        <f t="shared" si="0"/>
        <v>1082</v>
      </c>
      <c r="AD24" s="73">
        <f t="shared" si="0"/>
        <v>1777</v>
      </c>
      <c r="AE24" s="73">
        <f t="shared" si="0"/>
        <v>1766</v>
      </c>
      <c r="AF24" s="73">
        <f t="shared" si="0"/>
        <v>1884</v>
      </c>
      <c r="AG24" s="73">
        <f t="shared" si="0"/>
        <v>1780</v>
      </c>
      <c r="AH24" s="73">
        <f t="shared" si="0"/>
        <v>1572</v>
      </c>
      <c r="AI24" s="73">
        <f t="shared" si="0"/>
        <v>948</v>
      </c>
      <c r="AJ24" s="73">
        <f t="shared" si="0"/>
        <v>1085</v>
      </c>
      <c r="AK24" s="73">
        <f t="shared" si="0"/>
        <v>2917</v>
      </c>
      <c r="AL24" s="73">
        <f t="shared" si="0"/>
        <v>2801</v>
      </c>
      <c r="AM24" s="73">
        <f t="shared" si="0"/>
        <v>3075</v>
      </c>
      <c r="AN24" s="73">
        <f t="shared" si="0"/>
        <v>2737</v>
      </c>
      <c r="AO24" s="73">
        <f t="shared" si="0"/>
        <v>2329</v>
      </c>
      <c r="AP24" s="73">
        <f t="shared" si="0"/>
        <v>1540</v>
      </c>
      <c r="AQ24" s="73">
        <f t="shared" si="0"/>
        <v>1787</v>
      </c>
      <c r="AR24" s="73">
        <f t="shared" si="0"/>
        <v>3102</v>
      </c>
      <c r="AS24" s="73">
        <f t="shared" si="0"/>
        <v>2403</v>
      </c>
      <c r="AT24" s="73">
        <f t="shared" si="0"/>
        <v>2927</v>
      </c>
      <c r="AU24" s="73">
        <f t="shared" si="0"/>
        <v>3213</v>
      </c>
      <c r="AV24" s="73">
        <f t="shared" si="0"/>
        <v>2194</v>
      </c>
      <c r="AW24" s="73">
        <f t="shared" si="0"/>
        <v>1780</v>
      </c>
      <c r="AX24" s="73">
        <f t="shared" si="0"/>
        <v>1408</v>
      </c>
      <c r="AY24" s="74"/>
      <c r="AZ24" s="74"/>
      <c r="BA24" s="74"/>
      <c r="BB24" s="74"/>
      <c r="BC24" s="74"/>
      <c r="BD24" s="74"/>
      <c r="BE24" s="75"/>
    </row>
    <row r="25" spans="1:57" ht="16" x14ac:dyDescent="0.2">
      <c r="A25" s="56" t="s">
        <v>42</v>
      </c>
      <c r="B25" s="73"/>
      <c r="C25" s="73"/>
      <c r="D25" s="73"/>
      <c r="E25" s="73"/>
      <c r="F25" s="73"/>
      <c r="G25" s="73"/>
      <c r="H25" s="73">
        <f>B24</f>
        <v>1576</v>
      </c>
      <c r="I25" s="73">
        <f t="shared" ref="I25:N25" si="1">C24</f>
        <v>2299</v>
      </c>
      <c r="J25" s="73">
        <f t="shared" si="1"/>
        <v>1878</v>
      </c>
      <c r="K25" s="73">
        <f t="shared" si="1"/>
        <v>1628</v>
      </c>
      <c r="L25" s="73">
        <f t="shared" si="1"/>
        <v>1555</v>
      </c>
      <c r="M25" s="73">
        <f t="shared" si="1"/>
        <v>1240</v>
      </c>
      <c r="N25" s="73">
        <f t="shared" si="1"/>
        <v>864</v>
      </c>
      <c r="O25" s="73">
        <f>AVERAGE(B24,I24)</f>
        <v>1729</v>
      </c>
      <c r="P25" s="73">
        <f t="shared" ref="P25:U25" si="2">AVERAGE(C24,J24)</f>
        <v>2302.5</v>
      </c>
      <c r="Q25" s="73">
        <f t="shared" si="2"/>
        <v>1933</v>
      </c>
      <c r="R25" s="73">
        <f t="shared" si="2"/>
        <v>1757</v>
      </c>
      <c r="S25" s="73">
        <f t="shared" si="2"/>
        <v>1460</v>
      </c>
      <c r="T25" s="73">
        <f t="shared" si="2"/>
        <v>1119</v>
      </c>
      <c r="U25" s="73">
        <f t="shared" si="2"/>
        <v>958</v>
      </c>
      <c r="V25" s="73">
        <f>AVERAGE(B24,I24,P24)</f>
        <v>1787.6666666666667</v>
      </c>
      <c r="W25" s="73">
        <f t="shared" ref="W25:AB25" si="3">AVERAGE(C24,J24,Q24)</f>
        <v>2124</v>
      </c>
      <c r="X25" s="73">
        <f t="shared" si="3"/>
        <v>1925.6666666666667</v>
      </c>
      <c r="Y25" s="73">
        <f t="shared" si="3"/>
        <v>1850</v>
      </c>
      <c r="Z25" s="73">
        <f t="shared" si="3"/>
        <v>1449.3333333333333</v>
      </c>
      <c r="AA25" s="73">
        <f t="shared" si="3"/>
        <v>1082</v>
      </c>
      <c r="AB25" s="73">
        <f t="shared" si="3"/>
        <v>999.33333333333337</v>
      </c>
      <c r="AC25" s="73">
        <f>AVERAGE(B24,I24,P24,W24)</f>
        <v>1821</v>
      </c>
      <c r="AD25" s="73">
        <f t="shared" ref="AD25:AI25" si="4">AVERAGE(C24,J24,Q24,X24)</f>
        <v>2038</v>
      </c>
      <c r="AE25" s="73">
        <f t="shared" si="4"/>
        <v>1962</v>
      </c>
      <c r="AF25" s="73">
        <f t="shared" si="4"/>
        <v>1840.75</v>
      </c>
      <c r="AG25" s="73">
        <f t="shared" si="4"/>
        <v>1532</v>
      </c>
      <c r="AH25" s="73">
        <f t="shared" si="4"/>
        <v>1120.5</v>
      </c>
      <c r="AI25" s="73">
        <f t="shared" si="4"/>
        <v>1020</v>
      </c>
      <c r="AJ25" s="73">
        <f>AVERAGE(B24,I24,P24,W24,AD24)</f>
        <v>1812.2</v>
      </c>
      <c r="AK25" s="73">
        <f t="shared" ref="AK25:AP25" si="5">AVERAGE(C24,J24,Q24,X24,AE24)</f>
        <v>1983.6</v>
      </c>
      <c r="AL25" s="73">
        <f t="shared" si="5"/>
        <v>1946.4</v>
      </c>
      <c r="AM25" s="73">
        <f t="shared" si="5"/>
        <v>1828.6</v>
      </c>
      <c r="AN25" s="73">
        <f t="shared" si="5"/>
        <v>1540</v>
      </c>
      <c r="AO25" s="73">
        <f t="shared" si="5"/>
        <v>1086</v>
      </c>
      <c r="AP25" s="73">
        <f t="shared" si="5"/>
        <v>1033</v>
      </c>
      <c r="AQ25" s="73">
        <f>AVERAGE(B24,I24,P24,W24,AD24,AK24)</f>
        <v>1996.3333333333333</v>
      </c>
      <c r="AR25" s="73">
        <f t="shared" ref="AR25:AW25" si="6">AVERAGE(C24,J24,Q24,X24,AE24,AL24)</f>
        <v>2119.8333333333335</v>
      </c>
      <c r="AS25" s="73">
        <f t="shared" si="6"/>
        <v>2134.5</v>
      </c>
      <c r="AT25" s="73">
        <f t="shared" si="6"/>
        <v>1980</v>
      </c>
      <c r="AU25" s="73">
        <f t="shared" si="6"/>
        <v>1671.5</v>
      </c>
      <c r="AV25" s="73">
        <f t="shared" si="6"/>
        <v>1161.6666666666667</v>
      </c>
      <c r="AW25" s="73">
        <f t="shared" si="6"/>
        <v>1158.6666666666667</v>
      </c>
      <c r="AX25" s="73">
        <f>AVERAGE(B24,I24,P24,W24,AD24,AK24,AR24)</f>
        <v>2154.2857142857142</v>
      </c>
      <c r="AY25" s="74">
        <f t="shared" ref="AY25:BD25" si="7">AVERAGE(C24,J24,Q24,X24,AE24,AL24,AS24)</f>
        <v>2160.2857142857142</v>
      </c>
      <c r="AZ25" s="74">
        <f t="shared" si="7"/>
        <v>2247.7142857142858</v>
      </c>
      <c r="BA25" s="74">
        <f t="shared" si="7"/>
        <v>2156.1428571428573</v>
      </c>
      <c r="BB25" s="74">
        <f t="shared" si="7"/>
        <v>1746.1428571428571</v>
      </c>
      <c r="BC25" s="74">
        <f t="shared" si="7"/>
        <v>1250</v>
      </c>
      <c r="BD25" s="74">
        <f t="shared" si="7"/>
        <v>1194.2857142857142</v>
      </c>
      <c r="BE25" s="75"/>
    </row>
    <row r="26" spans="1:57" ht="17" thickBot="1" x14ac:dyDescent="0.25">
      <c r="A26" s="57" t="s">
        <v>43</v>
      </c>
      <c r="B26" s="76"/>
      <c r="C26" s="76"/>
      <c r="D26" s="76"/>
      <c r="E26" s="76"/>
      <c r="F26" s="76"/>
      <c r="G26" s="76"/>
      <c r="H26" s="76"/>
      <c r="I26" s="76">
        <f>H25</f>
        <v>1576</v>
      </c>
      <c r="J26" s="76">
        <f t="shared" ref="J26:BE26" si="8">I25</f>
        <v>2299</v>
      </c>
      <c r="K26" s="76">
        <f t="shared" si="8"/>
        <v>1878</v>
      </c>
      <c r="L26" s="76">
        <f t="shared" si="8"/>
        <v>1628</v>
      </c>
      <c r="M26" s="76">
        <f t="shared" si="8"/>
        <v>1555</v>
      </c>
      <c r="N26" s="76">
        <f t="shared" si="8"/>
        <v>1240</v>
      </c>
      <c r="O26" s="76">
        <f t="shared" si="8"/>
        <v>864</v>
      </c>
      <c r="P26" s="76">
        <f t="shared" si="8"/>
        <v>1729</v>
      </c>
      <c r="Q26" s="76">
        <f t="shared" si="8"/>
        <v>2302.5</v>
      </c>
      <c r="R26" s="76">
        <f t="shared" si="8"/>
        <v>1933</v>
      </c>
      <c r="S26" s="76">
        <f t="shared" si="8"/>
        <v>1757</v>
      </c>
      <c r="T26" s="76">
        <f t="shared" si="8"/>
        <v>1460</v>
      </c>
      <c r="U26" s="76">
        <f t="shared" si="8"/>
        <v>1119</v>
      </c>
      <c r="V26" s="76">
        <f t="shared" si="8"/>
        <v>958</v>
      </c>
      <c r="W26" s="76">
        <f t="shared" si="8"/>
        <v>1787.6666666666667</v>
      </c>
      <c r="X26" s="76">
        <f t="shared" si="8"/>
        <v>2124</v>
      </c>
      <c r="Y26" s="76">
        <f t="shared" si="8"/>
        <v>1925.6666666666667</v>
      </c>
      <c r="Z26" s="76">
        <f t="shared" si="8"/>
        <v>1850</v>
      </c>
      <c r="AA26" s="76">
        <f t="shared" si="8"/>
        <v>1449.3333333333333</v>
      </c>
      <c r="AB26" s="76">
        <f t="shared" si="8"/>
        <v>1082</v>
      </c>
      <c r="AC26" s="76">
        <f t="shared" si="8"/>
        <v>999.33333333333337</v>
      </c>
      <c r="AD26" s="76">
        <f t="shared" si="8"/>
        <v>1821</v>
      </c>
      <c r="AE26" s="76">
        <f t="shared" si="8"/>
        <v>2038</v>
      </c>
      <c r="AF26" s="76">
        <f t="shared" si="8"/>
        <v>1962</v>
      </c>
      <c r="AG26" s="76">
        <f t="shared" si="8"/>
        <v>1840.75</v>
      </c>
      <c r="AH26" s="76">
        <f t="shared" si="8"/>
        <v>1532</v>
      </c>
      <c r="AI26" s="76">
        <f t="shared" si="8"/>
        <v>1120.5</v>
      </c>
      <c r="AJ26" s="76">
        <f t="shared" si="8"/>
        <v>1020</v>
      </c>
      <c r="AK26" s="76">
        <f t="shared" si="8"/>
        <v>1812.2</v>
      </c>
      <c r="AL26" s="76">
        <f t="shared" si="8"/>
        <v>1983.6</v>
      </c>
      <c r="AM26" s="76">
        <f t="shared" si="8"/>
        <v>1946.4</v>
      </c>
      <c r="AN26" s="76">
        <f t="shared" si="8"/>
        <v>1828.6</v>
      </c>
      <c r="AO26" s="76">
        <f t="shared" si="8"/>
        <v>1540</v>
      </c>
      <c r="AP26" s="76">
        <f t="shared" si="8"/>
        <v>1086</v>
      </c>
      <c r="AQ26" s="76">
        <f t="shared" si="8"/>
        <v>1033</v>
      </c>
      <c r="AR26" s="76">
        <f t="shared" si="8"/>
        <v>1996.3333333333333</v>
      </c>
      <c r="AS26" s="76">
        <f t="shared" si="8"/>
        <v>2119.8333333333335</v>
      </c>
      <c r="AT26" s="76">
        <f t="shared" si="8"/>
        <v>2134.5</v>
      </c>
      <c r="AU26" s="76">
        <f t="shared" si="8"/>
        <v>1980</v>
      </c>
      <c r="AV26" s="76">
        <f t="shared" si="8"/>
        <v>1671.5</v>
      </c>
      <c r="AW26" s="76">
        <f t="shared" si="8"/>
        <v>1161.6666666666667</v>
      </c>
      <c r="AX26" s="76">
        <f t="shared" si="8"/>
        <v>1158.6666666666667</v>
      </c>
      <c r="AY26" s="77">
        <f t="shared" si="8"/>
        <v>2154.2857142857142</v>
      </c>
      <c r="AZ26" s="77">
        <f t="shared" si="8"/>
        <v>2160.2857142857142</v>
      </c>
      <c r="BA26" s="77">
        <f t="shared" si="8"/>
        <v>2247.7142857142858</v>
      </c>
      <c r="BB26" s="77">
        <f t="shared" si="8"/>
        <v>2156.1428571428573</v>
      </c>
      <c r="BC26" s="77">
        <f t="shared" si="8"/>
        <v>1746.1428571428571</v>
      </c>
      <c r="BD26" s="77">
        <f t="shared" si="8"/>
        <v>1250</v>
      </c>
      <c r="BE26" s="78">
        <f t="shared" si="8"/>
        <v>1194.2857142857142</v>
      </c>
    </row>
    <row r="27" spans="1:57" ht="16" thickBot="1" x14ac:dyDescent="0.25"/>
    <row r="28" spans="1:57" x14ac:dyDescent="0.2">
      <c r="A28" s="87" t="s">
        <v>44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92"/>
      <c r="AZ28" s="92"/>
      <c r="BA28" s="92"/>
      <c r="BB28" s="92"/>
      <c r="BC28" s="92"/>
      <c r="BD28" s="92"/>
      <c r="BE28" s="80"/>
    </row>
    <row r="29" spans="1:57" x14ac:dyDescent="0.2">
      <c r="A29" s="88" t="s">
        <v>45</v>
      </c>
      <c r="B29" s="93">
        <f>AVERAGE($B$24:$H$24)</f>
        <v>1577.1428571428571</v>
      </c>
      <c r="C29" s="93">
        <f t="shared" ref="C29:H29" si="9">AVERAGE($B$24:$H$24)</f>
        <v>1577.1428571428571</v>
      </c>
      <c r="D29" s="93">
        <f t="shared" si="9"/>
        <v>1577.1428571428571</v>
      </c>
      <c r="E29" s="93">
        <f t="shared" si="9"/>
        <v>1577.1428571428571</v>
      </c>
      <c r="F29" s="93">
        <f t="shared" si="9"/>
        <v>1577.1428571428571</v>
      </c>
      <c r="G29" s="93">
        <f t="shared" si="9"/>
        <v>1577.1428571428571</v>
      </c>
      <c r="H29" s="93">
        <f t="shared" si="9"/>
        <v>1577.1428571428571</v>
      </c>
      <c r="I29" s="93">
        <f>AVERAGE($I$24:$O$24)</f>
        <v>1639.5714285714287</v>
      </c>
      <c r="J29" s="93">
        <f t="shared" ref="J29:O29" si="10">AVERAGE($I$24:$O$24)</f>
        <v>1639.5714285714287</v>
      </c>
      <c r="K29" s="93">
        <f t="shared" si="10"/>
        <v>1639.5714285714287</v>
      </c>
      <c r="L29" s="93">
        <f t="shared" si="10"/>
        <v>1639.5714285714287</v>
      </c>
      <c r="M29" s="93">
        <f t="shared" si="10"/>
        <v>1639.5714285714287</v>
      </c>
      <c r="N29" s="93">
        <f t="shared" si="10"/>
        <v>1639.5714285714287</v>
      </c>
      <c r="O29" s="93">
        <f t="shared" si="10"/>
        <v>1639.5714285714287</v>
      </c>
      <c r="P29" s="93">
        <f>AVERAGE($P$24:$V$24)</f>
        <v>1591</v>
      </c>
      <c r="Q29" s="93">
        <f t="shared" ref="Q29:V29" si="11">AVERAGE($P$24:$V$24)</f>
        <v>1591</v>
      </c>
      <c r="R29" s="93">
        <f t="shared" si="11"/>
        <v>1591</v>
      </c>
      <c r="S29" s="93">
        <f t="shared" si="11"/>
        <v>1591</v>
      </c>
      <c r="T29" s="93">
        <f t="shared" si="11"/>
        <v>1591</v>
      </c>
      <c r="U29" s="93">
        <f t="shared" si="11"/>
        <v>1591</v>
      </c>
      <c r="V29" s="93">
        <f t="shared" si="11"/>
        <v>1591</v>
      </c>
      <c r="W29" s="93">
        <f>AVERAGE($W$24:$AC$24)</f>
        <v>1669</v>
      </c>
      <c r="X29" s="93">
        <f t="shared" ref="X29:AC29" si="12">AVERAGE($W$24:$AC$24)</f>
        <v>1669</v>
      </c>
      <c r="Y29" s="93">
        <f t="shared" si="12"/>
        <v>1669</v>
      </c>
      <c r="Z29" s="93">
        <f t="shared" si="12"/>
        <v>1669</v>
      </c>
      <c r="AA29" s="93">
        <f t="shared" si="12"/>
        <v>1669</v>
      </c>
      <c r="AB29" s="93">
        <f t="shared" si="12"/>
        <v>1669</v>
      </c>
      <c r="AC29" s="93">
        <f t="shared" si="12"/>
        <v>1669</v>
      </c>
      <c r="AD29" s="93">
        <f>AVERAGE($AD$24:$AJ$24)</f>
        <v>1544.5714285714287</v>
      </c>
      <c r="AE29" s="93">
        <f t="shared" ref="AE29:AJ29" si="13">AVERAGE($AD$24:$AJ$24)</f>
        <v>1544.5714285714287</v>
      </c>
      <c r="AF29" s="93">
        <f t="shared" si="13"/>
        <v>1544.5714285714287</v>
      </c>
      <c r="AG29" s="93">
        <f t="shared" si="13"/>
        <v>1544.5714285714287</v>
      </c>
      <c r="AH29" s="93">
        <f t="shared" si="13"/>
        <v>1544.5714285714287</v>
      </c>
      <c r="AI29" s="93">
        <f t="shared" si="13"/>
        <v>1544.5714285714287</v>
      </c>
      <c r="AJ29" s="93">
        <f t="shared" si="13"/>
        <v>1544.5714285714287</v>
      </c>
      <c r="AK29" s="93">
        <f>AVERAGE($AK$24:$AQ$24)</f>
        <v>2455.1428571428573</v>
      </c>
      <c r="AL29" s="93">
        <f t="shared" ref="AL29:AQ29" si="14">AVERAGE($AK$24:$AQ$24)</f>
        <v>2455.1428571428573</v>
      </c>
      <c r="AM29" s="93">
        <f t="shared" si="14"/>
        <v>2455.1428571428573</v>
      </c>
      <c r="AN29" s="93">
        <f t="shared" si="14"/>
        <v>2455.1428571428573</v>
      </c>
      <c r="AO29" s="93">
        <f t="shared" si="14"/>
        <v>2455.1428571428573</v>
      </c>
      <c r="AP29" s="93">
        <f t="shared" si="14"/>
        <v>2455.1428571428573</v>
      </c>
      <c r="AQ29" s="93">
        <f t="shared" si="14"/>
        <v>2455.1428571428573</v>
      </c>
      <c r="AR29" s="93">
        <f>AVERAGE($AR$24:$AX$24)</f>
        <v>2432.4285714285716</v>
      </c>
      <c r="AS29" s="93">
        <f t="shared" ref="AS29:AX29" si="15">AVERAGE($AR$24:$AX$24)</f>
        <v>2432.4285714285716</v>
      </c>
      <c r="AT29" s="93">
        <f t="shared" si="15"/>
        <v>2432.4285714285716</v>
      </c>
      <c r="AU29" s="93">
        <f t="shared" si="15"/>
        <v>2432.4285714285716</v>
      </c>
      <c r="AV29" s="93">
        <f t="shared" si="15"/>
        <v>2432.4285714285716</v>
      </c>
      <c r="AW29" s="93">
        <f t="shared" si="15"/>
        <v>2432.4285714285716</v>
      </c>
      <c r="AX29" s="93">
        <f t="shared" si="15"/>
        <v>2432.4285714285716</v>
      </c>
      <c r="AY29" s="74"/>
      <c r="AZ29" s="74"/>
      <c r="BA29" s="74"/>
      <c r="BB29" s="74"/>
      <c r="BC29" s="74"/>
      <c r="BD29" s="74"/>
      <c r="BE29" s="75"/>
    </row>
    <row r="30" spans="1:57" ht="16" thickBot="1" x14ac:dyDescent="0.25">
      <c r="A30" s="89" t="s">
        <v>46</v>
      </c>
      <c r="B30" s="94">
        <f>C29</f>
        <v>1577.1428571428571</v>
      </c>
      <c r="C30" s="94">
        <f t="shared" ref="C30:G30" si="16">D29</f>
        <v>1577.1428571428571</v>
      </c>
      <c r="D30" s="94">
        <f t="shared" si="16"/>
        <v>1577.1428571428571</v>
      </c>
      <c r="E30" s="94">
        <f t="shared" si="16"/>
        <v>1577.1428571428571</v>
      </c>
      <c r="F30" s="94">
        <f t="shared" si="16"/>
        <v>1577.1428571428571</v>
      </c>
      <c r="G30" s="94">
        <f t="shared" si="16"/>
        <v>1577.1428571428571</v>
      </c>
      <c r="H30" s="94">
        <f>AVERAGE(B24:H24)</f>
        <v>1577.1428571428571</v>
      </c>
      <c r="I30" s="94">
        <f t="shared" ref="I30:K30" si="17">AVERAGE(C24:I24)</f>
        <v>1620.8571428571429</v>
      </c>
      <c r="J30" s="94">
        <f t="shared" si="17"/>
        <v>1621.8571428571429</v>
      </c>
      <c r="K30" s="94">
        <f t="shared" si="17"/>
        <v>1637.5714285714287</v>
      </c>
      <c r="L30" s="94">
        <f t="shared" ref="L30" si="18">AVERAGE(F24:L24)</f>
        <v>1674.4285714285713</v>
      </c>
      <c r="M30" s="94">
        <f t="shared" ref="M30" si="19">AVERAGE(G24:M24)</f>
        <v>1647.2857142857142</v>
      </c>
      <c r="N30" s="94">
        <f t="shared" ref="N30" si="20">AVERAGE(H24:N24)</f>
        <v>1612.7142857142858</v>
      </c>
      <c r="O30" s="94">
        <f t="shared" ref="O30" si="21">AVERAGE(I24:O24)</f>
        <v>1639.5714285714287</v>
      </c>
      <c r="P30" s="94">
        <f t="shared" ref="P30" si="22">AVERAGE(J24:P24)</f>
        <v>1642.8571428571429</v>
      </c>
      <c r="Q30" s="94">
        <f t="shared" ref="Q30" si="23">AVERAGE(K24:Q24)</f>
        <v>1565.8571428571429</v>
      </c>
      <c r="R30" s="94">
        <f t="shared" ref="R30" si="24">AVERAGE(L24:R24)</f>
        <v>1554.8571428571429</v>
      </c>
      <c r="S30" s="94">
        <f t="shared" ref="S30" si="25">AVERAGE(M24:S24)</f>
        <v>1576.2857142857142</v>
      </c>
      <c r="T30" s="94">
        <f t="shared" ref="T30" si="26">AVERAGE(N24:T24)</f>
        <v>1585.2857142857142</v>
      </c>
      <c r="U30" s="94">
        <f t="shared" ref="U30" si="27">AVERAGE(O24:U24)</f>
        <v>1586.7142857142858</v>
      </c>
      <c r="V30" s="94">
        <f t="shared" ref="V30" si="28">AVERAGE(P24:V24)</f>
        <v>1591</v>
      </c>
      <c r="W30" s="94">
        <f t="shared" ref="W30" si="29">AVERAGE(Q24:W24)</f>
        <v>1593.2857142857142</v>
      </c>
      <c r="X30" s="94">
        <f t="shared" ref="X30" si="30">AVERAGE(R24:X24)</f>
        <v>1595.1428571428571</v>
      </c>
      <c r="Y30" s="94">
        <f t="shared" ref="Y30" si="31">AVERAGE(S24:Y24)</f>
        <v>1618</v>
      </c>
      <c r="Z30" s="94">
        <f t="shared" ref="Z30" si="32">AVERAGE(T24:Z24)</f>
        <v>1586.1428571428571</v>
      </c>
      <c r="AA30" s="94">
        <f t="shared" ref="AA30" si="33">AVERAGE(U24:AA24)</f>
        <v>1636.4285714285713</v>
      </c>
      <c r="AB30" s="94">
        <f t="shared" ref="AB30" si="34">AVERAGE(V24:AB24)</f>
        <v>1669</v>
      </c>
      <c r="AC30" s="94">
        <f t="shared" ref="AC30" si="35">AVERAGE(W24:AC24)</f>
        <v>1669</v>
      </c>
      <c r="AD30" s="94">
        <f t="shared" ref="AD30" si="36">AVERAGE(X24:AD24)</f>
        <v>1648.4285714285713</v>
      </c>
      <c r="AE30" s="94">
        <f t="shared" ref="AE30" si="37">AVERAGE(Y24:AE24)</f>
        <v>1646.4285714285713</v>
      </c>
      <c r="AF30" s="94">
        <f t="shared" ref="AF30" si="38">AVERAGE(Z24:AF24)</f>
        <v>1619.7142857142858</v>
      </c>
      <c r="AG30" s="94">
        <f t="shared" ref="AG30" si="39">AVERAGE(AA24:AG24)</f>
        <v>1615</v>
      </c>
      <c r="AH30" s="94">
        <f t="shared" ref="AH30" si="40">AVERAGE(AB24:AH24)</f>
        <v>1585.2857142857142</v>
      </c>
      <c r="AI30" s="94">
        <f t="shared" ref="AI30" si="41">AVERAGE(AC24:AI24)</f>
        <v>1544.1428571428571</v>
      </c>
      <c r="AJ30" s="94">
        <f t="shared" ref="AJ30" si="42">AVERAGE(AD24:AJ24)</f>
        <v>1544.5714285714287</v>
      </c>
      <c r="AK30" s="94">
        <f t="shared" ref="AK30" si="43">AVERAGE(AE24:AK24)</f>
        <v>1707.4285714285713</v>
      </c>
      <c r="AL30" s="94">
        <f t="shared" ref="AL30" si="44">AVERAGE(AF24:AL24)</f>
        <v>1855.2857142857142</v>
      </c>
      <c r="AM30" s="94">
        <f t="shared" ref="AM30" si="45">AVERAGE(AG24:AM24)</f>
        <v>2025.4285714285713</v>
      </c>
      <c r="AN30" s="94">
        <f t="shared" ref="AN30" si="46">AVERAGE(AH24:AN24)</f>
        <v>2162.1428571428573</v>
      </c>
      <c r="AO30" s="94">
        <f t="shared" ref="AO30" si="47">AVERAGE(AI24:AO24)</f>
        <v>2270.2857142857142</v>
      </c>
      <c r="AP30" s="94">
        <f t="shared" ref="AP30" si="48">AVERAGE(AJ24:AP24)</f>
        <v>2354.8571428571427</v>
      </c>
      <c r="AQ30" s="94">
        <f t="shared" ref="AQ30" si="49">AVERAGE(AK24:AQ24)</f>
        <v>2455.1428571428573</v>
      </c>
      <c r="AR30" s="94">
        <f t="shared" ref="AR30" si="50">AVERAGE(AL24:AR24)</f>
        <v>2481.5714285714284</v>
      </c>
      <c r="AS30" s="94">
        <f t="shared" ref="AS30" si="51">AVERAGE(AM24:AS24)</f>
        <v>2424.7142857142858</v>
      </c>
      <c r="AT30" s="94">
        <f t="shared" ref="AT30" si="52">AVERAGE(AN24:AT24)</f>
        <v>2403.5714285714284</v>
      </c>
      <c r="AU30" s="94">
        <f t="shared" ref="AU30" si="53">AVERAGE(AO24:AU24)</f>
        <v>2471.5714285714284</v>
      </c>
      <c r="AV30" s="94">
        <f t="shared" ref="AV30" si="54">AVERAGE(AP24:AV24)</f>
        <v>2452.2857142857142</v>
      </c>
      <c r="AW30" s="94">
        <f t="shared" ref="AW30" si="55">AVERAGE(AQ24:AW24)</f>
        <v>2486.5714285714284</v>
      </c>
      <c r="AX30" s="94">
        <f t="shared" ref="AX30" si="56">AVERAGE(AR24:AX24)</f>
        <v>2432.4285714285716</v>
      </c>
      <c r="AY30" s="77"/>
      <c r="AZ30" s="77"/>
      <c r="BA30" s="77"/>
      <c r="BB30" s="77"/>
      <c r="BC30" s="77"/>
      <c r="BD30" s="77"/>
      <c r="BE30" s="78"/>
    </row>
    <row r="31" spans="1:57" ht="16" thickBot="1" x14ac:dyDescent="0.25">
      <c r="A31" s="5"/>
    </row>
    <row r="32" spans="1:57" x14ac:dyDescent="0.2">
      <c r="A32" s="87" t="s">
        <v>47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92"/>
      <c r="AZ32" s="92"/>
      <c r="BA32" s="92"/>
      <c r="BB32" s="92"/>
      <c r="BC32" s="92"/>
      <c r="BD32" s="92"/>
      <c r="BE32" s="80"/>
    </row>
    <row r="33" spans="1:57" x14ac:dyDescent="0.2">
      <c r="A33" s="88" t="s">
        <v>48</v>
      </c>
      <c r="B33" s="84">
        <f>B24/B29</f>
        <v>0.99927536231884062</v>
      </c>
      <c r="C33" s="84">
        <f t="shared" ref="C33:AX33" si="57">C24/C29</f>
        <v>1.4576992753623188</v>
      </c>
      <c r="D33" s="84">
        <f t="shared" si="57"/>
        <v>1.1907608695652174</v>
      </c>
      <c r="E33" s="84">
        <f t="shared" si="57"/>
        <v>1.0322463768115941</v>
      </c>
      <c r="F33" s="84">
        <f t="shared" si="57"/>
        <v>0.98596014492753625</v>
      </c>
      <c r="G33" s="84">
        <f t="shared" si="57"/>
        <v>0.78623188405797106</v>
      </c>
      <c r="H33" s="84">
        <f t="shared" si="57"/>
        <v>0.5478260869565218</v>
      </c>
      <c r="I33" s="84">
        <f t="shared" si="57"/>
        <v>1.147860939269844</v>
      </c>
      <c r="J33" s="84">
        <f t="shared" si="57"/>
        <v>1.4064651041212859</v>
      </c>
      <c r="K33" s="84">
        <f t="shared" si="57"/>
        <v>1.2125119804827045</v>
      </c>
      <c r="L33" s="84">
        <f t="shared" si="57"/>
        <v>1.1503006012024048</v>
      </c>
      <c r="M33" s="84">
        <f t="shared" si="57"/>
        <v>0.832534634486364</v>
      </c>
      <c r="N33" s="84">
        <f t="shared" si="57"/>
        <v>0.60869565217391297</v>
      </c>
      <c r="O33" s="84">
        <f t="shared" si="57"/>
        <v>0.64163108826348347</v>
      </c>
      <c r="P33" s="84">
        <f t="shared" si="57"/>
        <v>1.197360150848523</v>
      </c>
      <c r="Q33" s="84">
        <f t="shared" si="57"/>
        <v>1.1106222501571339</v>
      </c>
      <c r="R33" s="84">
        <f t="shared" si="57"/>
        <v>1.2011313639220615</v>
      </c>
      <c r="S33" s="84">
        <f t="shared" si="57"/>
        <v>1.2796983029541169</v>
      </c>
      <c r="T33" s="84">
        <f t="shared" si="57"/>
        <v>0.89754871150219984</v>
      </c>
      <c r="U33" s="84">
        <f t="shared" si="57"/>
        <v>0.633563796354494</v>
      </c>
      <c r="V33" s="84">
        <f t="shared" si="57"/>
        <v>0.68007542426147072</v>
      </c>
      <c r="W33" s="84">
        <f t="shared" si="57"/>
        <v>1.1509886159376872</v>
      </c>
      <c r="X33" s="84">
        <f t="shared" si="57"/>
        <v>1.0665068903535051</v>
      </c>
      <c r="Y33" s="84">
        <f t="shared" si="57"/>
        <v>1.2408627920910724</v>
      </c>
      <c r="Z33" s="84">
        <f t="shared" si="57"/>
        <v>1.08627920910725</v>
      </c>
      <c r="AA33" s="84">
        <f t="shared" si="57"/>
        <v>1.0665068903535051</v>
      </c>
      <c r="AB33" s="84">
        <f t="shared" si="57"/>
        <v>0.74056321150389459</v>
      </c>
      <c r="AC33" s="84">
        <f t="shared" si="57"/>
        <v>0.64829239065308564</v>
      </c>
      <c r="AD33" s="84">
        <f t="shared" si="57"/>
        <v>1.1504809470958195</v>
      </c>
      <c r="AE33" s="84">
        <f t="shared" si="57"/>
        <v>1.1433592304846467</v>
      </c>
      <c r="AF33" s="84">
        <f t="shared" si="57"/>
        <v>1.2197558268590454</v>
      </c>
      <c r="AG33" s="84">
        <f t="shared" si="57"/>
        <v>1.152423233444321</v>
      </c>
      <c r="AH33" s="84">
        <f t="shared" si="57"/>
        <v>1.0177580466148723</v>
      </c>
      <c r="AI33" s="84">
        <f t="shared" si="57"/>
        <v>0.61376248612652606</v>
      </c>
      <c r="AJ33" s="84">
        <f t="shared" si="57"/>
        <v>0.70246022937476871</v>
      </c>
      <c r="AK33" s="84">
        <f t="shared" si="57"/>
        <v>1.1881182357733038</v>
      </c>
      <c r="AL33" s="84">
        <f t="shared" si="57"/>
        <v>1.1408704759688117</v>
      </c>
      <c r="AM33" s="84">
        <f t="shared" si="57"/>
        <v>1.2524729430932153</v>
      </c>
      <c r="AN33" s="84">
        <f t="shared" si="57"/>
        <v>1.1148027464215058</v>
      </c>
      <c r="AO33" s="84">
        <f t="shared" si="57"/>
        <v>0.94862097055743044</v>
      </c>
      <c r="AP33" s="84">
        <f t="shared" si="57"/>
        <v>0.62725474223204924</v>
      </c>
      <c r="AQ33" s="84">
        <f t="shared" si="57"/>
        <v>0.72785988595368323</v>
      </c>
      <c r="AR33" s="84">
        <f t="shared" si="57"/>
        <v>1.2752686909026838</v>
      </c>
      <c r="AS33" s="84">
        <f t="shared" si="57"/>
        <v>0.98790156809772711</v>
      </c>
      <c r="AT33" s="84">
        <f t="shared" si="57"/>
        <v>1.2033241322605273</v>
      </c>
      <c r="AU33" s="84">
        <f t="shared" si="57"/>
        <v>1.3209020966699947</v>
      </c>
      <c r="AV33" s="84">
        <f t="shared" si="57"/>
        <v>0.90197920949080868</v>
      </c>
      <c r="AW33" s="84">
        <f t="shared" si="57"/>
        <v>0.73177893933164972</v>
      </c>
      <c r="AX33" s="84">
        <f t="shared" si="57"/>
        <v>0.57884536324660829</v>
      </c>
      <c r="AY33" s="74"/>
      <c r="AZ33" s="74"/>
      <c r="BA33" s="74"/>
      <c r="BB33" s="74"/>
      <c r="BC33" s="74"/>
      <c r="BD33" s="74"/>
      <c r="BE33" s="75"/>
    </row>
    <row r="34" spans="1:57" x14ac:dyDescent="0.2">
      <c r="A34" s="90" t="s">
        <v>49</v>
      </c>
      <c r="B34" s="84">
        <f>B33</f>
        <v>0.99927536231884062</v>
      </c>
      <c r="C34" s="84">
        <f t="shared" ref="C34:H34" si="58">C33</f>
        <v>1.4576992753623188</v>
      </c>
      <c r="D34" s="84">
        <f t="shared" si="58"/>
        <v>1.1907608695652174</v>
      </c>
      <c r="E34" s="84">
        <f t="shared" si="58"/>
        <v>1.0322463768115941</v>
      </c>
      <c r="F34" s="84">
        <f t="shared" si="58"/>
        <v>0.98596014492753625</v>
      </c>
      <c r="G34" s="84">
        <f t="shared" si="58"/>
        <v>0.78623188405797106</v>
      </c>
      <c r="H34" s="84">
        <f t="shared" si="58"/>
        <v>0.5478260869565218</v>
      </c>
      <c r="I34" s="84">
        <f>AVERAGE(B33,I33)</f>
        <v>1.0735681507943422</v>
      </c>
      <c r="J34" s="84">
        <f t="shared" ref="J34:O34" si="59">AVERAGE(C33,J33)</f>
        <v>1.4320821897418023</v>
      </c>
      <c r="K34" s="84">
        <f t="shared" si="59"/>
        <v>1.2016364250239611</v>
      </c>
      <c r="L34" s="84">
        <f t="shared" si="59"/>
        <v>1.0912734890069995</v>
      </c>
      <c r="M34" s="84">
        <f t="shared" si="59"/>
        <v>0.90924738970695018</v>
      </c>
      <c r="N34" s="84">
        <f t="shared" si="59"/>
        <v>0.69746376811594202</v>
      </c>
      <c r="O34" s="84">
        <f t="shared" si="59"/>
        <v>0.59472858761000258</v>
      </c>
      <c r="P34" s="84">
        <f>AVERAGE(B33,I33,P33)</f>
        <v>1.1148321508124024</v>
      </c>
      <c r="Q34" s="84">
        <f t="shared" ref="Q34:V34" si="60">AVERAGE(C33,J33,Q33)</f>
        <v>1.3249288765469129</v>
      </c>
      <c r="R34" s="84">
        <f t="shared" si="60"/>
        <v>1.2014680713233279</v>
      </c>
      <c r="S34" s="84">
        <f t="shared" si="60"/>
        <v>1.1540817603227052</v>
      </c>
      <c r="T34" s="84">
        <f t="shared" si="60"/>
        <v>0.9053478303053667</v>
      </c>
      <c r="U34" s="84">
        <f t="shared" si="60"/>
        <v>0.67616377752879264</v>
      </c>
      <c r="V34" s="84">
        <f t="shared" si="60"/>
        <v>0.62317753316049196</v>
      </c>
      <c r="W34" s="84">
        <f>AVERAGE(B33,I33,P33,W33)</f>
        <v>1.1238712670937236</v>
      </c>
      <c r="X34" s="84">
        <f t="shared" ref="X34:AC34" si="61">AVERAGE(C33,J33,Q33,X33)</f>
        <v>1.2603233799985609</v>
      </c>
      <c r="Y34" s="84">
        <f t="shared" si="61"/>
        <v>1.2113167515152641</v>
      </c>
      <c r="Z34" s="84">
        <f t="shared" si="61"/>
        <v>1.1371311225188414</v>
      </c>
      <c r="AA34" s="84">
        <f t="shared" si="61"/>
        <v>0.94563759531740132</v>
      </c>
      <c r="AB34" s="84">
        <f t="shared" si="61"/>
        <v>0.69226363602256813</v>
      </c>
      <c r="AC34" s="84">
        <f t="shared" si="61"/>
        <v>0.62945624753364038</v>
      </c>
      <c r="AD34" s="84">
        <f>AVERAGE(B33,I33,P33,W33,AD33)</f>
        <v>1.1291932030941427</v>
      </c>
      <c r="AE34" s="84">
        <f t="shared" ref="AE34:AJ34" si="62">AVERAGE(C33,J33,Q33,X33,AE33)</f>
        <v>1.2369305500957781</v>
      </c>
      <c r="AF34" s="84">
        <f t="shared" si="62"/>
        <v>1.2130045665840203</v>
      </c>
      <c r="AG34" s="84">
        <f t="shared" si="62"/>
        <v>1.1401895447039372</v>
      </c>
      <c r="AH34" s="84">
        <f t="shared" si="62"/>
        <v>0.96006168557689553</v>
      </c>
      <c r="AI34" s="84">
        <f t="shared" si="62"/>
        <v>0.67656340604335974</v>
      </c>
      <c r="AJ34" s="84">
        <f t="shared" si="62"/>
        <v>0.64405704390186602</v>
      </c>
      <c r="AK34" s="84">
        <f>AVERAGE(B33,I33,P33,W33,AD33,AK33)</f>
        <v>1.1390140418740031</v>
      </c>
      <c r="AL34" s="84">
        <f t="shared" ref="AL34:AQ34" si="63">AVERAGE(C33,J33,Q33,X33,AE33,AL33)</f>
        <v>1.2209205377412837</v>
      </c>
      <c r="AM34" s="84">
        <f t="shared" si="63"/>
        <v>1.2195826293355527</v>
      </c>
      <c r="AN34" s="84">
        <f t="shared" si="63"/>
        <v>1.1359584116568653</v>
      </c>
      <c r="AO34" s="84">
        <f t="shared" si="63"/>
        <v>0.95815489974031787</v>
      </c>
      <c r="AP34" s="84">
        <f t="shared" si="63"/>
        <v>0.66834529540814136</v>
      </c>
      <c r="AQ34" s="84">
        <f t="shared" si="63"/>
        <v>0.65802418424383557</v>
      </c>
      <c r="AR34" s="84">
        <f>AVERAGE(B33,I33,P33,W33,AD33,AK33,AR33)</f>
        <v>1.1584789917352432</v>
      </c>
      <c r="AS34" s="84">
        <f t="shared" ref="AS34:AX34" si="64">AVERAGE(C33,J33,Q33,X33,AE33,AL33,AS33)</f>
        <v>1.18763211350649</v>
      </c>
      <c r="AT34" s="84">
        <f t="shared" si="64"/>
        <v>1.2172599868962632</v>
      </c>
      <c r="AU34" s="84">
        <f t="shared" si="64"/>
        <v>1.1623789380873124</v>
      </c>
      <c r="AV34" s="84">
        <f t="shared" si="64"/>
        <v>0.95012980113324519</v>
      </c>
      <c r="AW34" s="84">
        <f t="shared" si="64"/>
        <v>0.67740724454007117</v>
      </c>
      <c r="AX34" s="84">
        <f t="shared" si="64"/>
        <v>0.6467129241013746</v>
      </c>
      <c r="AY34" s="74"/>
      <c r="AZ34" s="74"/>
      <c r="BA34" s="74"/>
      <c r="BB34" s="74"/>
      <c r="BC34" s="74"/>
      <c r="BD34" s="74"/>
      <c r="BE34" s="75"/>
    </row>
    <row r="35" spans="1:57" ht="16" thickBot="1" x14ac:dyDescent="0.25">
      <c r="A35" s="91" t="s">
        <v>50</v>
      </c>
      <c r="B35" s="85">
        <f>B24/B30</f>
        <v>0.99927536231884062</v>
      </c>
      <c r="C35" s="85">
        <f t="shared" ref="C35:H35" si="65">C24/C30</f>
        <v>1.4576992753623188</v>
      </c>
      <c r="D35" s="85">
        <f t="shared" si="65"/>
        <v>1.1907608695652174</v>
      </c>
      <c r="E35" s="85">
        <f t="shared" si="65"/>
        <v>1.0322463768115941</v>
      </c>
      <c r="F35" s="85">
        <f t="shared" si="65"/>
        <v>0.98596014492753625</v>
      </c>
      <c r="G35" s="85">
        <f t="shared" si="65"/>
        <v>0.78623188405797106</v>
      </c>
      <c r="H35" s="85">
        <f t="shared" si="65"/>
        <v>0.5478260869565218</v>
      </c>
      <c r="I35" s="85">
        <f>AVERAGE(B35,I24/I30)</f>
        <v>1.0801947056614476</v>
      </c>
      <c r="J35" s="85">
        <f t="shared" ref="J35:O35" si="66">AVERAGE(C35,J24/J30)</f>
        <v>1.4397630526375584</v>
      </c>
      <c r="K35" s="85">
        <f t="shared" si="66"/>
        <v>1.2023768580574932</v>
      </c>
      <c r="L35" s="85">
        <f t="shared" si="66"/>
        <v>1.0793003917160948</v>
      </c>
      <c r="M35" s="85">
        <f t="shared" si="66"/>
        <v>0.90729799805565081</v>
      </c>
      <c r="N35" s="85">
        <f t="shared" si="66"/>
        <v>0.70253218793207695</v>
      </c>
      <c r="O35" s="85">
        <f t="shared" si="66"/>
        <v>0.59472858761000258</v>
      </c>
      <c r="P35" s="85">
        <f>AVERAGE(B35,I35,P24/P30)</f>
        <v>1.0796784284571974</v>
      </c>
      <c r="Q35" s="85">
        <f t="shared" ref="Q35:V35" si="67">AVERAGE(C35,J35,Q24/Q30)</f>
        <v>1.3419725869661117</v>
      </c>
      <c r="R35" s="85">
        <f t="shared" si="67"/>
        <v>1.2073965156022781</v>
      </c>
      <c r="S35" s="85">
        <f t="shared" si="67"/>
        <v>1.1343969259843671</v>
      </c>
      <c r="T35" s="85">
        <f t="shared" si="67"/>
        <v>0.93134737955256452</v>
      </c>
      <c r="U35" s="85">
        <f t="shared" si="67"/>
        <v>0.70801304125306752</v>
      </c>
      <c r="V35" s="85">
        <f t="shared" si="67"/>
        <v>0.60754336627599848</v>
      </c>
      <c r="W35" s="85">
        <f>AVERAGE(B35,I35,P35,W24/W30)</f>
        <v>1.0912082664029248</v>
      </c>
      <c r="X35" s="85">
        <f t="shared" ref="X35:AC35" si="68">AVERAGE(C35,J35,Q35,X24/X30)</f>
        <v>1.3388306076596415</v>
      </c>
      <c r="Y35" s="85">
        <f t="shared" si="68"/>
        <v>1.2201273803365316</v>
      </c>
      <c r="Z35" s="85">
        <f t="shared" si="68"/>
        <v>1.0972420255824409</v>
      </c>
      <c r="AA35" s="85">
        <f t="shared" si="68"/>
        <v>0.97808503406038927</v>
      </c>
      <c r="AB35" s="85">
        <f t="shared" si="68"/>
        <v>0.7343350811867525</v>
      </c>
      <c r="AC35" s="85">
        <f t="shared" si="68"/>
        <v>0.59959760787390215</v>
      </c>
      <c r="AD35" s="85">
        <f>AVERAGE(B35,I35,P35,W35,AD24/AD30)</f>
        <v>1.065670624602054</v>
      </c>
      <c r="AE35" s="85">
        <f t="shared" ref="AE35:AJ35" si="69">AVERAGE(C35,J35,Q35,X35,AE24/AE30)</f>
        <v>1.330178050295191</v>
      </c>
      <c r="AF35" s="85">
        <f t="shared" si="69"/>
        <v>1.1967659461622955</v>
      </c>
      <c r="AG35" s="85">
        <f t="shared" si="69"/>
        <v>1.0890705805514072</v>
      </c>
      <c r="AH35" s="85">
        <f t="shared" si="69"/>
        <v>0.95886198263580025</v>
      </c>
      <c r="AI35" s="85">
        <f t="shared" si="69"/>
        <v>0.70900900563590419</v>
      </c>
      <c r="AJ35" s="85">
        <f t="shared" si="69"/>
        <v>0.61043117561823879</v>
      </c>
      <c r="AK35" s="85">
        <f>AVERAGE(B35,I35,P35,W35,AD35,AK24/AK30)</f>
        <v>1.1707407314635254</v>
      </c>
      <c r="AL35" s="85">
        <f t="shared" ref="AL35:AQ35" si="70">AVERAGE(C35,J35,Q35,X35,AE35,AL24/AL30)</f>
        <v>1.4030306804435551</v>
      </c>
      <c r="AM35" s="85">
        <f t="shared" si="70"/>
        <v>1.2559374627773578</v>
      </c>
      <c r="AN35" s="85">
        <f t="shared" si="70"/>
        <v>1.1163550171817616</v>
      </c>
      <c r="AO35" s="85">
        <f t="shared" si="70"/>
        <v>0.96456910136624308</v>
      </c>
      <c r="AP35" s="85">
        <f t="shared" si="70"/>
        <v>0.7156814472810421</v>
      </c>
      <c r="AQ35" s="85">
        <f t="shared" si="70"/>
        <v>0.6146644517147245</v>
      </c>
      <c r="AR35" s="85">
        <f>AVERAGE(B35,I35,P35,W35,AD35,AK35,AR24/AR30)</f>
        <v>1.1052546443869171</v>
      </c>
      <c r="AS35" s="85">
        <f t="shared" ref="AS35:AX35" si="71">AVERAGE(C35,J35,Q35,X35,AE35,AL35,AS24/AS30)</f>
        <v>1.32893126480169</v>
      </c>
      <c r="AT35" s="85">
        <f t="shared" si="71"/>
        <v>1.2130194580499449</v>
      </c>
      <c r="AU35" s="85">
        <f t="shared" si="71"/>
        <v>1.1212277111127882</v>
      </c>
      <c r="AV35" s="85">
        <f t="shared" si="71"/>
        <v>0.94582816599680797</v>
      </c>
      <c r="AW35" s="85">
        <f t="shared" si="71"/>
        <v>0.72452110831830274</v>
      </c>
      <c r="AX35" s="85">
        <f t="shared" si="71"/>
        <v>0.59337666275657097</v>
      </c>
      <c r="AY35" s="77"/>
      <c r="AZ35" s="77"/>
      <c r="BA35" s="77"/>
      <c r="BB35" s="77"/>
      <c r="BC35" s="77"/>
      <c r="BD35" s="77"/>
      <c r="BE35" s="78"/>
    </row>
    <row r="36" spans="1:57" ht="16" thickBot="1" x14ac:dyDescent="0.25">
      <c r="A36" s="5"/>
    </row>
    <row r="37" spans="1:57" x14ac:dyDescent="0.2">
      <c r="A37" s="87" t="s">
        <v>51</v>
      </c>
      <c r="B37" s="79"/>
      <c r="C37" s="79"/>
      <c r="D37" s="79"/>
      <c r="E37" s="79"/>
      <c r="F37" s="79"/>
      <c r="G37" s="79"/>
      <c r="H37" s="95">
        <f>B33*B29</f>
        <v>1576</v>
      </c>
      <c r="I37" s="95">
        <f t="shared" ref="I37:BD37" si="72">C33*C29</f>
        <v>2299</v>
      </c>
      <c r="J37" s="95">
        <f t="shared" si="72"/>
        <v>1878</v>
      </c>
      <c r="K37" s="95">
        <f t="shared" si="72"/>
        <v>1627.9999999999998</v>
      </c>
      <c r="L37" s="95">
        <f t="shared" si="72"/>
        <v>1555</v>
      </c>
      <c r="M37" s="95">
        <f t="shared" si="72"/>
        <v>1240</v>
      </c>
      <c r="N37" s="95">
        <f t="shared" si="72"/>
        <v>864.00000000000011</v>
      </c>
      <c r="O37" s="95">
        <f t="shared" si="72"/>
        <v>1882</v>
      </c>
      <c r="P37" s="95">
        <f t="shared" si="72"/>
        <v>2306</v>
      </c>
      <c r="Q37" s="95">
        <f t="shared" si="72"/>
        <v>1988</v>
      </c>
      <c r="R37" s="95">
        <f t="shared" si="72"/>
        <v>1886.0000000000002</v>
      </c>
      <c r="S37" s="95">
        <f t="shared" si="72"/>
        <v>1365</v>
      </c>
      <c r="T37" s="95">
        <f t="shared" si="72"/>
        <v>997.99999999999989</v>
      </c>
      <c r="U37" s="95">
        <f t="shared" si="72"/>
        <v>1052</v>
      </c>
      <c r="V37" s="95">
        <f t="shared" si="72"/>
        <v>1905</v>
      </c>
      <c r="W37" s="95">
        <f t="shared" si="72"/>
        <v>1767</v>
      </c>
      <c r="X37" s="95">
        <f t="shared" si="72"/>
        <v>1911</v>
      </c>
      <c r="Y37" s="95">
        <f t="shared" si="72"/>
        <v>2036</v>
      </c>
      <c r="Z37" s="95">
        <f t="shared" si="72"/>
        <v>1428</v>
      </c>
      <c r="AA37" s="95">
        <f t="shared" si="72"/>
        <v>1008</v>
      </c>
      <c r="AB37" s="95">
        <f t="shared" si="72"/>
        <v>1082</v>
      </c>
      <c r="AC37" s="95">
        <f t="shared" si="72"/>
        <v>1921</v>
      </c>
      <c r="AD37" s="95">
        <f t="shared" si="72"/>
        <v>1780</v>
      </c>
      <c r="AE37" s="95">
        <f t="shared" si="72"/>
        <v>2071</v>
      </c>
      <c r="AF37" s="95">
        <f t="shared" si="72"/>
        <v>1813.0000000000002</v>
      </c>
      <c r="AG37" s="95">
        <f t="shared" si="72"/>
        <v>1780</v>
      </c>
      <c r="AH37" s="95">
        <f t="shared" si="72"/>
        <v>1236</v>
      </c>
      <c r="AI37" s="95">
        <f t="shared" si="72"/>
        <v>1082</v>
      </c>
      <c r="AJ37" s="95">
        <f t="shared" si="72"/>
        <v>1777.0000000000002</v>
      </c>
      <c r="AK37" s="95">
        <f t="shared" si="72"/>
        <v>1766.0000000000002</v>
      </c>
      <c r="AL37" s="95">
        <f t="shared" si="72"/>
        <v>1884</v>
      </c>
      <c r="AM37" s="95">
        <f t="shared" si="72"/>
        <v>1779.9999999999998</v>
      </c>
      <c r="AN37" s="95">
        <f t="shared" si="72"/>
        <v>1572</v>
      </c>
      <c r="AO37" s="95">
        <f t="shared" si="72"/>
        <v>948</v>
      </c>
      <c r="AP37" s="95">
        <f t="shared" si="72"/>
        <v>1085</v>
      </c>
      <c r="AQ37" s="95">
        <f t="shared" si="72"/>
        <v>2917</v>
      </c>
      <c r="AR37" s="95">
        <f t="shared" si="72"/>
        <v>2801</v>
      </c>
      <c r="AS37" s="95">
        <f t="shared" si="72"/>
        <v>3075</v>
      </c>
      <c r="AT37" s="95">
        <f t="shared" si="72"/>
        <v>2737</v>
      </c>
      <c r="AU37" s="95">
        <f t="shared" si="72"/>
        <v>2329</v>
      </c>
      <c r="AV37" s="95">
        <f t="shared" si="72"/>
        <v>1539.9999999999998</v>
      </c>
      <c r="AW37" s="95">
        <f t="shared" si="72"/>
        <v>1787.0000000000002</v>
      </c>
      <c r="AX37" s="95">
        <f t="shared" si="72"/>
        <v>3101.9999999999995</v>
      </c>
      <c r="AY37" s="96">
        <f t="shared" si="72"/>
        <v>2403</v>
      </c>
      <c r="AZ37" s="96">
        <f t="shared" si="72"/>
        <v>2927</v>
      </c>
      <c r="BA37" s="96">
        <f t="shared" si="72"/>
        <v>3213</v>
      </c>
      <c r="BB37" s="96">
        <f t="shared" si="72"/>
        <v>2194</v>
      </c>
      <c r="BC37" s="96">
        <f t="shared" si="72"/>
        <v>1780</v>
      </c>
      <c r="BD37" s="96">
        <f t="shared" si="72"/>
        <v>1408</v>
      </c>
      <c r="BE37" s="80"/>
    </row>
    <row r="38" spans="1:57" x14ac:dyDescent="0.2">
      <c r="A38" s="88" t="s">
        <v>52</v>
      </c>
      <c r="B38" s="73"/>
      <c r="C38" s="73"/>
      <c r="D38" s="73"/>
      <c r="E38" s="73"/>
      <c r="F38" s="73"/>
      <c r="G38" s="73"/>
      <c r="H38" s="93">
        <f>B29*B34</f>
        <v>1576</v>
      </c>
      <c r="I38" s="93">
        <f t="shared" ref="I38:P38" si="73">C29*C34</f>
        <v>2299</v>
      </c>
      <c r="J38" s="93">
        <f t="shared" si="73"/>
        <v>1878</v>
      </c>
      <c r="K38" s="93">
        <f t="shared" si="73"/>
        <v>1627.9999999999998</v>
      </c>
      <c r="L38" s="93">
        <f t="shared" si="73"/>
        <v>1555</v>
      </c>
      <c r="M38" s="93">
        <f t="shared" si="73"/>
        <v>1240</v>
      </c>
      <c r="N38" s="93">
        <f t="shared" si="73"/>
        <v>864.00000000000011</v>
      </c>
      <c r="O38" s="93">
        <f t="shared" si="73"/>
        <v>1760.1916666666666</v>
      </c>
      <c r="P38" s="93">
        <f t="shared" si="73"/>
        <v>2348.0010416666664</v>
      </c>
      <c r="Q38" s="93">
        <f t="shared" ref="Q38" si="74">K29*K34</f>
        <v>1970.1687500000003</v>
      </c>
      <c r="R38" s="93">
        <f t="shared" ref="R38" si="75">L29*L34</f>
        <v>1789.2208333333335</v>
      </c>
      <c r="S38" s="93">
        <f t="shared" ref="S38" si="76">M29*M34</f>
        <v>1490.7760416666667</v>
      </c>
      <c r="T38" s="93">
        <f t="shared" ref="T38" si="77">N29*N34</f>
        <v>1143.5416666666667</v>
      </c>
      <c r="U38" s="93">
        <f t="shared" ref="U38" si="78">O29*O34</f>
        <v>975.1</v>
      </c>
      <c r="V38" s="93">
        <f t="shared" ref="V38" si="79">P29*P34</f>
        <v>1773.6979519425322</v>
      </c>
      <c r="W38" s="93">
        <f t="shared" ref="W38" si="80">Q29*Q34</f>
        <v>2107.9618425861386</v>
      </c>
      <c r="X38" s="93">
        <f t="shared" ref="X38" si="81">R29*R34</f>
        <v>1911.5357014754147</v>
      </c>
      <c r="Y38" s="93">
        <f t="shared" ref="Y38" si="82">S29*S34</f>
        <v>1836.1440806734238</v>
      </c>
      <c r="Z38" s="93">
        <f t="shared" ref="Z38" si="83">T29*T34</f>
        <v>1440.4083980158384</v>
      </c>
      <c r="AA38" s="93">
        <f t="shared" ref="AA38" si="84">U29*U34</f>
        <v>1075.7765700483092</v>
      </c>
      <c r="AB38" s="93">
        <f t="shared" ref="AB38" si="85">V29*V34</f>
        <v>991.47545525834266</v>
      </c>
      <c r="AC38" s="93">
        <f t="shared" ref="AC38" si="86">W29*W34</f>
        <v>1875.7411447794248</v>
      </c>
      <c r="AD38" s="93">
        <f t="shared" ref="AD38" si="87">X29*X34</f>
        <v>2103.4797212175981</v>
      </c>
      <c r="AE38" s="93">
        <f t="shared" ref="AE38" si="88">Y29*Y34</f>
        <v>2021.6876582789757</v>
      </c>
      <c r="AF38" s="93">
        <f t="shared" ref="AF38" si="89">Z29*Z34</f>
        <v>1897.8718434839463</v>
      </c>
      <c r="AG38" s="93">
        <f t="shared" ref="AG38" si="90">AA29*AA34</f>
        <v>1578.2691465847429</v>
      </c>
      <c r="AH38" s="93">
        <f t="shared" ref="AH38" si="91">AB29*AB34</f>
        <v>1155.3880085216663</v>
      </c>
      <c r="AI38" s="93">
        <f t="shared" ref="AI38" si="92">AC29*AC34</f>
        <v>1050.5624771336459</v>
      </c>
      <c r="AJ38" s="93">
        <f t="shared" ref="AJ38" si="93">AD29*AD34</f>
        <v>1744.1195588362675</v>
      </c>
      <c r="AK38" s="93">
        <f t="shared" ref="AK38" si="94">AE29*AE34</f>
        <v>1910.5275868050792</v>
      </c>
      <c r="AL38" s="93">
        <f t="shared" ref="AL38" si="95">AF29*AF34</f>
        <v>1873.5721962723469</v>
      </c>
      <c r="AM38" s="93">
        <f t="shared" ref="AM38" si="96">AG29*AG34</f>
        <v>1761.1041939055672</v>
      </c>
      <c r="AN38" s="93">
        <f t="shared" ref="AN38" si="97">AH29*AH34</f>
        <v>1482.8838492081993</v>
      </c>
      <c r="AO38" s="93">
        <f t="shared" ref="AO38" si="98">AI29*AI34</f>
        <v>1045.0005065915436</v>
      </c>
      <c r="AP38" s="93">
        <f t="shared" ref="AP38" si="99">AJ29*AJ34</f>
        <v>994.79210838099652</v>
      </c>
      <c r="AQ38" s="93">
        <f t="shared" ref="AQ38" si="100">AK29*AK34</f>
        <v>2796.4421890923741</v>
      </c>
      <c r="AR38" s="93">
        <f t="shared" ref="AR38" si="101">AL29*AL34</f>
        <v>2997.5343373745291</v>
      </c>
      <c r="AS38" s="93">
        <f t="shared" ref="AS38" si="102">AM29*AM34</f>
        <v>2994.2495811086874</v>
      </c>
      <c r="AT38" s="93">
        <f t="shared" ref="AT38" si="103">AN29*AN34</f>
        <v>2788.9401803906985</v>
      </c>
      <c r="AU38" s="93">
        <f t="shared" ref="AU38" si="104">AO29*AO34</f>
        <v>2352.4071581338721</v>
      </c>
      <c r="AV38" s="93">
        <f t="shared" ref="AV38" si="105">AP29*AP34</f>
        <v>1640.8831781263311</v>
      </c>
      <c r="AW38" s="93">
        <f t="shared" ref="AW38" si="106">AQ29*AQ34</f>
        <v>1615.5433757735084</v>
      </c>
      <c r="AX38" s="93">
        <f t="shared" ref="AX38" si="107">AR29*AR34</f>
        <v>2817.9173988965695</v>
      </c>
      <c r="AY38" s="97">
        <f t="shared" ref="AY38" si="108">AS29*AS34</f>
        <v>2888.8302852392867</v>
      </c>
      <c r="AZ38" s="97">
        <f t="shared" ref="AZ38" si="109">AT29*AT34</f>
        <v>2960.8979709832392</v>
      </c>
      <c r="BA38" s="97">
        <f t="shared" ref="BA38" si="110">AU29*AU34</f>
        <v>2827.4037398303813</v>
      </c>
      <c r="BB38" s="97">
        <f t="shared" ref="BB38" si="111">AV29*AV34</f>
        <v>2311.1228748422523</v>
      </c>
      <c r="BC38" s="97">
        <f t="shared" ref="BC38" si="112">AW29*AW34</f>
        <v>1647.7447361119703</v>
      </c>
      <c r="BD38" s="97">
        <f t="shared" ref="BD38" si="113">AX29*AX34</f>
        <v>1573.0829940963008</v>
      </c>
      <c r="BE38" s="75"/>
    </row>
    <row r="39" spans="1:57" ht="16" thickBot="1" x14ac:dyDescent="0.25">
      <c r="A39" s="89" t="s">
        <v>53</v>
      </c>
      <c r="B39" s="76"/>
      <c r="C39" s="76"/>
      <c r="D39" s="76"/>
      <c r="E39" s="76"/>
      <c r="F39" s="76"/>
      <c r="G39" s="76"/>
      <c r="H39" s="94">
        <f>B35*B30</f>
        <v>1576</v>
      </c>
      <c r="I39" s="94">
        <f t="shared" ref="I39:BD39" si="114">C35*C30</f>
        <v>2299</v>
      </c>
      <c r="J39" s="94">
        <f t="shared" si="114"/>
        <v>1878</v>
      </c>
      <c r="K39" s="94">
        <f t="shared" si="114"/>
        <v>1627.9999999999998</v>
      </c>
      <c r="L39" s="94">
        <f t="shared" si="114"/>
        <v>1555</v>
      </c>
      <c r="M39" s="94">
        <f t="shared" si="114"/>
        <v>1240</v>
      </c>
      <c r="N39" s="94">
        <f t="shared" si="114"/>
        <v>864.00000000000011</v>
      </c>
      <c r="O39" s="94">
        <f t="shared" si="114"/>
        <v>1750.8413043478263</v>
      </c>
      <c r="P39" s="94">
        <f t="shared" si="114"/>
        <v>2335.0899909420286</v>
      </c>
      <c r="Q39" s="94">
        <f t="shared" si="114"/>
        <v>1968.9779891304349</v>
      </c>
      <c r="R39" s="94">
        <f t="shared" si="114"/>
        <v>1807.2114130434782</v>
      </c>
      <c r="S39" s="94">
        <f t="shared" si="114"/>
        <v>1494.5790307971013</v>
      </c>
      <c r="T39" s="94">
        <f t="shared" si="114"/>
        <v>1132.9836956521738</v>
      </c>
      <c r="U39" s="94">
        <f t="shared" si="114"/>
        <v>975.1</v>
      </c>
      <c r="V39" s="94">
        <f t="shared" si="114"/>
        <v>1773.7574181796815</v>
      </c>
      <c r="W39" s="94">
        <f t="shared" si="114"/>
        <v>2101.3373608193642</v>
      </c>
      <c r="X39" s="94">
        <f t="shared" si="114"/>
        <v>1877.3290965450278</v>
      </c>
      <c r="Y39" s="94">
        <f t="shared" si="114"/>
        <v>1788.1336687587866</v>
      </c>
      <c r="Z39" s="94">
        <f t="shared" si="114"/>
        <v>1476.4516958421154</v>
      </c>
      <c r="AA39" s="94">
        <f t="shared" si="114"/>
        <v>1123.4144070282603</v>
      </c>
      <c r="AB39" s="94">
        <f t="shared" si="114"/>
        <v>966.60149574511354</v>
      </c>
      <c r="AC39" s="94">
        <f t="shared" si="114"/>
        <v>1738.6065421702599</v>
      </c>
      <c r="AD39" s="94">
        <f t="shared" si="114"/>
        <v>2135.6260807325079</v>
      </c>
      <c r="AE39" s="94">
        <f t="shared" si="114"/>
        <v>1974.166101384508</v>
      </c>
      <c r="AF39" s="94">
        <f t="shared" si="114"/>
        <v>1740.3826014345486</v>
      </c>
      <c r="AG39" s="94">
        <f t="shared" si="114"/>
        <v>1600.5662950231083</v>
      </c>
      <c r="AH39" s="94">
        <f t="shared" si="114"/>
        <v>1225.6052505006899</v>
      </c>
      <c r="AI39" s="94">
        <f t="shared" si="114"/>
        <v>1000.7284075415427</v>
      </c>
      <c r="AJ39" s="94">
        <f t="shared" si="114"/>
        <v>1756.6819053261572</v>
      </c>
      <c r="AK39" s="94">
        <f t="shared" si="114"/>
        <v>2190.0431470931535</v>
      </c>
      <c r="AL39" s="94">
        <f t="shared" si="114"/>
        <v>1938.4188996554437</v>
      </c>
      <c r="AM39" s="94">
        <f t="shared" si="114"/>
        <v>1758.8489875905225</v>
      </c>
      <c r="AN39" s="94">
        <f t="shared" si="114"/>
        <v>1520.0702030442108</v>
      </c>
      <c r="AO39" s="94">
        <f t="shared" si="114"/>
        <v>1094.8111917026413</v>
      </c>
      <c r="AP39" s="94">
        <f t="shared" si="114"/>
        <v>942.85455296919974</v>
      </c>
      <c r="AQ39" s="94">
        <f t="shared" si="114"/>
        <v>1998.956174636008</v>
      </c>
      <c r="AR39" s="94">
        <f t="shared" si="114"/>
        <v>2603.0227781314925</v>
      </c>
      <c r="AS39" s="94">
        <f t="shared" si="114"/>
        <v>2543.8116210367684</v>
      </c>
      <c r="AT39" s="94">
        <f t="shared" si="114"/>
        <v>2413.7190264351375</v>
      </c>
      <c r="AU39" s="94">
        <f t="shared" si="114"/>
        <v>2189.8474512731905</v>
      </c>
      <c r="AV39" s="94">
        <f t="shared" si="114"/>
        <v>1685.3275681400996</v>
      </c>
      <c r="AW39" s="94">
        <f t="shared" si="114"/>
        <v>1509.0890381670365</v>
      </c>
      <c r="AX39" s="94">
        <f t="shared" si="114"/>
        <v>2742.7683468064479</v>
      </c>
      <c r="AY39" s="98">
        <f t="shared" si="114"/>
        <v>3222.2786224970123</v>
      </c>
      <c r="AZ39" s="98">
        <f t="shared" si="114"/>
        <v>2915.5789116700462</v>
      </c>
      <c r="BA39" s="98">
        <f t="shared" si="114"/>
        <v>2771.1943757089066</v>
      </c>
      <c r="BB39" s="98">
        <f t="shared" si="114"/>
        <v>2319.4408996430293</v>
      </c>
      <c r="BC39" s="98">
        <f t="shared" si="114"/>
        <v>1801.5734873411966</v>
      </c>
      <c r="BD39" s="98">
        <f t="shared" si="114"/>
        <v>1443.3463481080191</v>
      </c>
      <c r="BE39" s="78"/>
    </row>
    <row r="40" spans="1:57" ht="16" thickBot="1" x14ac:dyDescent="0.25">
      <c r="A40" s="5"/>
    </row>
    <row r="41" spans="1:57" x14ac:dyDescent="0.2">
      <c r="A41" s="87" t="s">
        <v>54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92"/>
      <c r="AZ41" s="92"/>
      <c r="BA41" s="92"/>
      <c r="BB41" s="92"/>
      <c r="BC41" s="92"/>
      <c r="BD41" s="92"/>
      <c r="BE41" s="80"/>
    </row>
    <row r="42" spans="1:57" x14ac:dyDescent="0.2">
      <c r="A42" s="88" t="s">
        <v>55</v>
      </c>
      <c r="B42" s="73"/>
      <c r="C42" s="73"/>
      <c r="D42" s="73"/>
      <c r="E42" s="73"/>
      <c r="F42" s="73"/>
      <c r="G42" s="73"/>
      <c r="H42" s="73"/>
      <c r="I42" s="93">
        <f>H37</f>
        <v>1576</v>
      </c>
      <c r="J42" s="93">
        <f t="shared" ref="J42:BE42" si="115">I37</f>
        <v>2299</v>
      </c>
      <c r="K42" s="93">
        <f t="shared" si="115"/>
        <v>1878</v>
      </c>
      <c r="L42" s="93">
        <f t="shared" si="115"/>
        <v>1627.9999999999998</v>
      </c>
      <c r="M42" s="93">
        <f t="shared" si="115"/>
        <v>1555</v>
      </c>
      <c r="N42" s="93">
        <f t="shared" si="115"/>
        <v>1240</v>
      </c>
      <c r="O42" s="93">
        <f t="shared" si="115"/>
        <v>864.00000000000011</v>
      </c>
      <c r="P42" s="93">
        <f t="shared" si="115"/>
        <v>1882</v>
      </c>
      <c r="Q42" s="93">
        <f t="shared" si="115"/>
        <v>2306</v>
      </c>
      <c r="R42" s="93">
        <f t="shared" si="115"/>
        <v>1988</v>
      </c>
      <c r="S42" s="93">
        <f t="shared" si="115"/>
        <v>1886.0000000000002</v>
      </c>
      <c r="T42" s="93">
        <f t="shared" si="115"/>
        <v>1365</v>
      </c>
      <c r="U42" s="93">
        <f t="shared" si="115"/>
        <v>997.99999999999989</v>
      </c>
      <c r="V42" s="93">
        <f t="shared" si="115"/>
        <v>1052</v>
      </c>
      <c r="W42" s="93">
        <f t="shared" si="115"/>
        <v>1905</v>
      </c>
      <c r="X42" s="93">
        <f t="shared" si="115"/>
        <v>1767</v>
      </c>
      <c r="Y42" s="93">
        <f t="shared" si="115"/>
        <v>1911</v>
      </c>
      <c r="Z42" s="93">
        <f t="shared" si="115"/>
        <v>2036</v>
      </c>
      <c r="AA42" s="93">
        <f t="shared" si="115"/>
        <v>1428</v>
      </c>
      <c r="AB42" s="93">
        <f t="shared" si="115"/>
        <v>1008</v>
      </c>
      <c r="AC42" s="93">
        <f t="shared" si="115"/>
        <v>1082</v>
      </c>
      <c r="AD42" s="93">
        <f t="shared" si="115"/>
        <v>1921</v>
      </c>
      <c r="AE42" s="93">
        <f t="shared" si="115"/>
        <v>1780</v>
      </c>
      <c r="AF42" s="93">
        <f t="shared" si="115"/>
        <v>2071</v>
      </c>
      <c r="AG42" s="93">
        <f t="shared" si="115"/>
        <v>1813.0000000000002</v>
      </c>
      <c r="AH42" s="93">
        <f t="shared" si="115"/>
        <v>1780</v>
      </c>
      <c r="AI42" s="93">
        <f t="shared" si="115"/>
        <v>1236</v>
      </c>
      <c r="AJ42" s="93">
        <f t="shared" si="115"/>
        <v>1082</v>
      </c>
      <c r="AK42" s="93">
        <f t="shared" si="115"/>
        <v>1777.0000000000002</v>
      </c>
      <c r="AL42" s="93">
        <f t="shared" si="115"/>
        <v>1766.0000000000002</v>
      </c>
      <c r="AM42" s="93">
        <f t="shared" si="115"/>
        <v>1884</v>
      </c>
      <c r="AN42" s="93">
        <f t="shared" si="115"/>
        <v>1779.9999999999998</v>
      </c>
      <c r="AO42" s="93">
        <f t="shared" si="115"/>
        <v>1572</v>
      </c>
      <c r="AP42" s="93">
        <f t="shared" si="115"/>
        <v>948</v>
      </c>
      <c r="AQ42" s="93">
        <f t="shared" si="115"/>
        <v>1085</v>
      </c>
      <c r="AR42" s="93">
        <f t="shared" si="115"/>
        <v>2917</v>
      </c>
      <c r="AS42" s="93">
        <f t="shared" si="115"/>
        <v>2801</v>
      </c>
      <c r="AT42" s="93">
        <f t="shared" si="115"/>
        <v>3075</v>
      </c>
      <c r="AU42" s="93">
        <f t="shared" si="115"/>
        <v>2737</v>
      </c>
      <c r="AV42" s="93">
        <f t="shared" si="115"/>
        <v>2329</v>
      </c>
      <c r="AW42" s="93">
        <f t="shared" si="115"/>
        <v>1539.9999999999998</v>
      </c>
      <c r="AX42" s="93">
        <f t="shared" si="115"/>
        <v>1787.0000000000002</v>
      </c>
      <c r="AY42" s="97">
        <f t="shared" si="115"/>
        <v>3101.9999999999995</v>
      </c>
      <c r="AZ42" s="97">
        <f t="shared" si="115"/>
        <v>2403</v>
      </c>
      <c r="BA42" s="97">
        <f t="shared" si="115"/>
        <v>2927</v>
      </c>
      <c r="BB42" s="97">
        <f t="shared" si="115"/>
        <v>3213</v>
      </c>
      <c r="BC42" s="97">
        <f t="shared" si="115"/>
        <v>2194</v>
      </c>
      <c r="BD42" s="97">
        <f t="shared" si="115"/>
        <v>1780</v>
      </c>
      <c r="BE42" s="99">
        <f t="shared" si="115"/>
        <v>1408</v>
      </c>
    </row>
    <row r="43" spans="1:57" x14ac:dyDescent="0.2">
      <c r="A43" s="88" t="s">
        <v>56</v>
      </c>
      <c r="B43" s="73"/>
      <c r="C43" s="73"/>
      <c r="D43" s="73"/>
      <c r="E43" s="73"/>
      <c r="F43" s="73"/>
      <c r="G43" s="73"/>
      <c r="H43" s="73"/>
      <c r="I43" s="93">
        <f>H38</f>
        <v>1576</v>
      </c>
      <c r="J43" s="93">
        <f t="shared" ref="J43:BE43" si="116">I38</f>
        <v>2299</v>
      </c>
      <c r="K43" s="93">
        <f t="shared" si="116"/>
        <v>1878</v>
      </c>
      <c r="L43" s="93">
        <f t="shared" si="116"/>
        <v>1627.9999999999998</v>
      </c>
      <c r="M43" s="93">
        <f t="shared" si="116"/>
        <v>1555</v>
      </c>
      <c r="N43" s="93">
        <f t="shared" si="116"/>
        <v>1240</v>
      </c>
      <c r="O43" s="93">
        <f t="shared" si="116"/>
        <v>864.00000000000011</v>
      </c>
      <c r="P43" s="93">
        <f t="shared" si="116"/>
        <v>1760.1916666666666</v>
      </c>
      <c r="Q43" s="93">
        <f t="shared" si="116"/>
        <v>2348.0010416666664</v>
      </c>
      <c r="R43" s="93">
        <f t="shared" si="116"/>
        <v>1970.1687500000003</v>
      </c>
      <c r="S43" s="93">
        <f t="shared" si="116"/>
        <v>1789.2208333333335</v>
      </c>
      <c r="T43" s="93">
        <f t="shared" si="116"/>
        <v>1490.7760416666667</v>
      </c>
      <c r="U43" s="93">
        <f t="shared" si="116"/>
        <v>1143.5416666666667</v>
      </c>
      <c r="V43" s="93">
        <f t="shared" si="116"/>
        <v>975.1</v>
      </c>
      <c r="W43" s="93">
        <f t="shared" si="116"/>
        <v>1773.6979519425322</v>
      </c>
      <c r="X43" s="93">
        <f t="shared" si="116"/>
        <v>2107.9618425861386</v>
      </c>
      <c r="Y43" s="93">
        <f t="shared" si="116"/>
        <v>1911.5357014754147</v>
      </c>
      <c r="Z43" s="93">
        <f t="shared" si="116"/>
        <v>1836.1440806734238</v>
      </c>
      <c r="AA43" s="93">
        <f t="shared" si="116"/>
        <v>1440.4083980158384</v>
      </c>
      <c r="AB43" s="93">
        <f t="shared" si="116"/>
        <v>1075.7765700483092</v>
      </c>
      <c r="AC43" s="93">
        <f t="shared" si="116"/>
        <v>991.47545525834266</v>
      </c>
      <c r="AD43" s="93">
        <f t="shared" si="116"/>
        <v>1875.7411447794248</v>
      </c>
      <c r="AE43" s="93">
        <f t="shared" si="116"/>
        <v>2103.4797212175981</v>
      </c>
      <c r="AF43" s="93">
        <f t="shared" si="116"/>
        <v>2021.6876582789757</v>
      </c>
      <c r="AG43" s="93">
        <f t="shared" si="116"/>
        <v>1897.8718434839463</v>
      </c>
      <c r="AH43" s="93">
        <f t="shared" si="116"/>
        <v>1578.2691465847429</v>
      </c>
      <c r="AI43" s="93">
        <f t="shared" si="116"/>
        <v>1155.3880085216663</v>
      </c>
      <c r="AJ43" s="93">
        <f t="shared" si="116"/>
        <v>1050.5624771336459</v>
      </c>
      <c r="AK43" s="93">
        <f t="shared" si="116"/>
        <v>1744.1195588362675</v>
      </c>
      <c r="AL43" s="93">
        <f t="shared" si="116"/>
        <v>1910.5275868050792</v>
      </c>
      <c r="AM43" s="93">
        <f t="shared" si="116"/>
        <v>1873.5721962723469</v>
      </c>
      <c r="AN43" s="93">
        <f t="shared" si="116"/>
        <v>1761.1041939055672</v>
      </c>
      <c r="AO43" s="93">
        <f t="shared" si="116"/>
        <v>1482.8838492081993</v>
      </c>
      <c r="AP43" s="93">
        <f t="shared" si="116"/>
        <v>1045.0005065915436</v>
      </c>
      <c r="AQ43" s="93">
        <f t="shared" si="116"/>
        <v>994.79210838099652</v>
      </c>
      <c r="AR43" s="93">
        <f t="shared" si="116"/>
        <v>2796.4421890923741</v>
      </c>
      <c r="AS43" s="93">
        <f t="shared" si="116"/>
        <v>2997.5343373745291</v>
      </c>
      <c r="AT43" s="93">
        <f t="shared" si="116"/>
        <v>2994.2495811086874</v>
      </c>
      <c r="AU43" s="93">
        <f t="shared" si="116"/>
        <v>2788.9401803906985</v>
      </c>
      <c r="AV43" s="93">
        <f t="shared" si="116"/>
        <v>2352.4071581338721</v>
      </c>
      <c r="AW43" s="93">
        <f t="shared" si="116"/>
        <v>1640.8831781263311</v>
      </c>
      <c r="AX43" s="93">
        <f t="shared" si="116"/>
        <v>1615.5433757735084</v>
      </c>
      <c r="AY43" s="97">
        <f t="shared" si="116"/>
        <v>2817.9173988965695</v>
      </c>
      <c r="AZ43" s="97">
        <f t="shared" si="116"/>
        <v>2888.8302852392867</v>
      </c>
      <c r="BA43" s="97">
        <f t="shared" si="116"/>
        <v>2960.8979709832392</v>
      </c>
      <c r="BB43" s="97">
        <f t="shared" si="116"/>
        <v>2827.4037398303813</v>
      </c>
      <c r="BC43" s="97">
        <f t="shared" si="116"/>
        <v>2311.1228748422523</v>
      </c>
      <c r="BD43" s="97">
        <f t="shared" si="116"/>
        <v>1647.7447361119703</v>
      </c>
      <c r="BE43" s="99">
        <f t="shared" si="116"/>
        <v>1573.0829940963008</v>
      </c>
    </row>
    <row r="44" spans="1:57" ht="16" thickBot="1" x14ac:dyDescent="0.25">
      <c r="A44" s="89" t="s">
        <v>57</v>
      </c>
      <c r="B44" s="76"/>
      <c r="C44" s="76"/>
      <c r="D44" s="76"/>
      <c r="E44" s="76"/>
      <c r="F44" s="76"/>
      <c r="G44" s="76"/>
      <c r="H44" s="76"/>
      <c r="I44" s="94">
        <f>H39</f>
        <v>1576</v>
      </c>
      <c r="J44" s="94">
        <f t="shared" ref="J44:BE44" si="117">I39</f>
        <v>2299</v>
      </c>
      <c r="K44" s="94">
        <f t="shared" si="117"/>
        <v>1878</v>
      </c>
      <c r="L44" s="94">
        <f t="shared" si="117"/>
        <v>1627.9999999999998</v>
      </c>
      <c r="M44" s="94">
        <f t="shared" si="117"/>
        <v>1555</v>
      </c>
      <c r="N44" s="94">
        <f t="shared" si="117"/>
        <v>1240</v>
      </c>
      <c r="O44" s="94">
        <f t="shared" si="117"/>
        <v>864.00000000000011</v>
      </c>
      <c r="P44" s="94">
        <f t="shared" si="117"/>
        <v>1750.8413043478263</v>
      </c>
      <c r="Q44" s="94">
        <f t="shared" si="117"/>
        <v>2335.0899909420286</v>
      </c>
      <c r="R44" s="94">
        <f t="shared" si="117"/>
        <v>1968.9779891304349</v>
      </c>
      <c r="S44" s="94">
        <f t="shared" si="117"/>
        <v>1807.2114130434782</v>
      </c>
      <c r="T44" s="94">
        <f t="shared" si="117"/>
        <v>1494.5790307971013</v>
      </c>
      <c r="U44" s="94">
        <f t="shared" si="117"/>
        <v>1132.9836956521738</v>
      </c>
      <c r="V44" s="94">
        <f t="shared" si="117"/>
        <v>975.1</v>
      </c>
      <c r="W44" s="94">
        <f t="shared" si="117"/>
        <v>1773.7574181796815</v>
      </c>
      <c r="X44" s="94">
        <f t="shared" si="117"/>
        <v>2101.3373608193642</v>
      </c>
      <c r="Y44" s="94">
        <f t="shared" si="117"/>
        <v>1877.3290965450278</v>
      </c>
      <c r="Z44" s="94">
        <f t="shared" si="117"/>
        <v>1788.1336687587866</v>
      </c>
      <c r="AA44" s="94">
        <f t="shared" si="117"/>
        <v>1476.4516958421154</v>
      </c>
      <c r="AB44" s="94">
        <f t="shared" si="117"/>
        <v>1123.4144070282603</v>
      </c>
      <c r="AC44" s="94">
        <f t="shared" si="117"/>
        <v>966.60149574511354</v>
      </c>
      <c r="AD44" s="94">
        <f t="shared" si="117"/>
        <v>1738.6065421702599</v>
      </c>
      <c r="AE44" s="94">
        <f t="shared" si="117"/>
        <v>2135.6260807325079</v>
      </c>
      <c r="AF44" s="94">
        <f t="shared" si="117"/>
        <v>1974.166101384508</v>
      </c>
      <c r="AG44" s="94">
        <f t="shared" si="117"/>
        <v>1740.3826014345486</v>
      </c>
      <c r="AH44" s="94">
        <f t="shared" si="117"/>
        <v>1600.5662950231083</v>
      </c>
      <c r="AI44" s="94">
        <f t="shared" si="117"/>
        <v>1225.6052505006899</v>
      </c>
      <c r="AJ44" s="94">
        <f t="shared" si="117"/>
        <v>1000.7284075415427</v>
      </c>
      <c r="AK44" s="94">
        <f t="shared" si="117"/>
        <v>1756.6819053261572</v>
      </c>
      <c r="AL44" s="94">
        <f t="shared" si="117"/>
        <v>2190.0431470931535</v>
      </c>
      <c r="AM44" s="94">
        <f t="shared" si="117"/>
        <v>1938.4188996554437</v>
      </c>
      <c r="AN44" s="94">
        <f t="shared" si="117"/>
        <v>1758.8489875905225</v>
      </c>
      <c r="AO44" s="94">
        <f t="shared" si="117"/>
        <v>1520.0702030442108</v>
      </c>
      <c r="AP44" s="94">
        <f t="shared" si="117"/>
        <v>1094.8111917026413</v>
      </c>
      <c r="AQ44" s="94">
        <f t="shared" si="117"/>
        <v>942.85455296919974</v>
      </c>
      <c r="AR44" s="94">
        <f t="shared" si="117"/>
        <v>1998.956174636008</v>
      </c>
      <c r="AS44" s="94">
        <f t="shared" si="117"/>
        <v>2603.0227781314925</v>
      </c>
      <c r="AT44" s="94">
        <f t="shared" si="117"/>
        <v>2543.8116210367684</v>
      </c>
      <c r="AU44" s="94">
        <f t="shared" si="117"/>
        <v>2413.7190264351375</v>
      </c>
      <c r="AV44" s="94">
        <f t="shared" si="117"/>
        <v>2189.8474512731905</v>
      </c>
      <c r="AW44" s="94">
        <f t="shared" si="117"/>
        <v>1685.3275681400996</v>
      </c>
      <c r="AX44" s="94">
        <f t="shared" si="117"/>
        <v>1509.0890381670365</v>
      </c>
      <c r="AY44" s="98">
        <f t="shared" si="117"/>
        <v>2742.7683468064479</v>
      </c>
      <c r="AZ44" s="98">
        <f t="shared" si="117"/>
        <v>3222.2786224970123</v>
      </c>
      <c r="BA44" s="98">
        <f t="shared" si="117"/>
        <v>2915.5789116700462</v>
      </c>
      <c r="BB44" s="98">
        <f t="shared" si="117"/>
        <v>2771.1943757089066</v>
      </c>
      <c r="BC44" s="98">
        <f t="shared" si="117"/>
        <v>2319.4408996430293</v>
      </c>
      <c r="BD44" s="98">
        <f t="shared" si="117"/>
        <v>1801.5734873411966</v>
      </c>
      <c r="BE44" s="100">
        <f t="shared" si="117"/>
        <v>1443.3463481080191</v>
      </c>
    </row>
    <row r="45" spans="1:57" ht="16" thickBot="1" x14ac:dyDescent="0.25">
      <c r="A45" s="5"/>
    </row>
    <row r="46" spans="1:57" x14ac:dyDescent="0.2">
      <c r="A46" s="87" t="s">
        <v>58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92"/>
      <c r="AZ46" s="92"/>
      <c r="BA46" s="92"/>
      <c r="BB46" s="92"/>
      <c r="BC46" s="92"/>
      <c r="BD46" s="92"/>
      <c r="BE46" s="80"/>
    </row>
    <row r="47" spans="1:57" x14ac:dyDescent="0.2">
      <c r="A47" s="88" t="s">
        <v>34</v>
      </c>
      <c r="B47" s="73"/>
      <c r="C47" s="73"/>
      <c r="D47" s="73"/>
      <c r="E47" s="73"/>
      <c r="F47" s="73"/>
      <c r="G47" s="73"/>
      <c r="H47" s="73"/>
      <c r="I47" s="84">
        <f>I2-I26</f>
        <v>306</v>
      </c>
      <c r="J47" s="84">
        <f t="shared" ref="J47:BD47" si="118">J2-J26</f>
        <v>7</v>
      </c>
      <c r="K47" s="84">
        <f t="shared" si="118"/>
        <v>110</v>
      </c>
      <c r="L47" s="84">
        <f t="shared" si="118"/>
        <v>258</v>
      </c>
      <c r="M47" s="84">
        <f t="shared" si="118"/>
        <v>-190</v>
      </c>
      <c r="N47" s="84">
        <f t="shared" si="118"/>
        <v>-242</v>
      </c>
      <c r="O47" s="84">
        <f t="shared" si="118"/>
        <v>188</v>
      </c>
      <c r="P47" s="84">
        <f t="shared" si="118"/>
        <v>176</v>
      </c>
      <c r="Q47" s="84">
        <f t="shared" si="118"/>
        <v>-535.5</v>
      </c>
      <c r="R47" s="84">
        <f t="shared" si="118"/>
        <v>-22</v>
      </c>
      <c r="S47" s="84">
        <f t="shared" si="118"/>
        <v>279</v>
      </c>
      <c r="T47" s="84">
        <f t="shared" si="118"/>
        <v>-32</v>
      </c>
      <c r="U47" s="84">
        <f t="shared" si="118"/>
        <v>-111</v>
      </c>
      <c r="V47" s="84">
        <f t="shared" si="118"/>
        <v>124</v>
      </c>
      <c r="W47" s="84">
        <f t="shared" si="118"/>
        <v>133.33333333333326</v>
      </c>
      <c r="X47" s="84">
        <f t="shared" si="118"/>
        <v>-344</v>
      </c>
      <c r="Y47" s="84">
        <f t="shared" si="118"/>
        <v>145.33333333333326</v>
      </c>
      <c r="Z47" s="84">
        <f t="shared" si="118"/>
        <v>-37</v>
      </c>
      <c r="AA47" s="84">
        <f t="shared" si="118"/>
        <v>330.66666666666674</v>
      </c>
      <c r="AB47" s="84">
        <f t="shared" si="118"/>
        <v>154</v>
      </c>
      <c r="AC47" s="84">
        <f t="shared" si="118"/>
        <v>82.666666666666629</v>
      </c>
      <c r="AD47" s="84">
        <f t="shared" si="118"/>
        <v>-44</v>
      </c>
      <c r="AE47" s="84">
        <f t="shared" si="118"/>
        <v>-272</v>
      </c>
      <c r="AF47" s="84">
        <f t="shared" si="118"/>
        <v>-78</v>
      </c>
      <c r="AG47" s="84">
        <f t="shared" si="118"/>
        <v>-60.75</v>
      </c>
      <c r="AH47" s="84">
        <f t="shared" si="118"/>
        <v>40</v>
      </c>
      <c r="AI47" s="84">
        <f t="shared" si="118"/>
        <v>-172.5</v>
      </c>
      <c r="AJ47" s="84">
        <f t="shared" si="118"/>
        <v>65</v>
      </c>
      <c r="AK47" s="84">
        <f t="shared" si="118"/>
        <v>1104.8</v>
      </c>
      <c r="AL47" s="84">
        <f t="shared" si="118"/>
        <v>817.40000000000009</v>
      </c>
      <c r="AM47" s="84">
        <f t="shared" si="118"/>
        <v>1128.5999999999999</v>
      </c>
      <c r="AN47" s="84">
        <f t="shared" si="118"/>
        <v>908.40000000000009</v>
      </c>
      <c r="AO47" s="84">
        <f t="shared" si="118"/>
        <v>789</v>
      </c>
      <c r="AP47" s="84">
        <f t="shared" si="118"/>
        <v>454</v>
      </c>
      <c r="AQ47" s="84">
        <f t="shared" si="118"/>
        <v>754</v>
      </c>
      <c r="AR47" s="84">
        <f t="shared" si="118"/>
        <v>1105.6666666666667</v>
      </c>
      <c r="AS47" s="84">
        <f t="shared" si="118"/>
        <v>283.16666666666652</v>
      </c>
      <c r="AT47" s="84">
        <f t="shared" si="118"/>
        <v>792.5</v>
      </c>
      <c r="AU47" s="84">
        <f t="shared" si="118"/>
        <v>1233</v>
      </c>
      <c r="AV47" s="84">
        <f t="shared" si="118"/>
        <v>522.5</v>
      </c>
      <c r="AW47" s="84">
        <f t="shared" si="118"/>
        <v>618.33333333333326</v>
      </c>
      <c r="AX47" s="84">
        <f t="shared" si="118"/>
        <v>249.33333333333326</v>
      </c>
      <c r="AY47" s="229">
        <f t="shared" si="118"/>
        <v>765.71428571428578</v>
      </c>
      <c r="AZ47" s="229">
        <f t="shared" si="118"/>
        <v>486.71428571428578</v>
      </c>
      <c r="BA47" s="229">
        <f t="shared" si="118"/>
        <v>772.28571428571422</v>
      </c>
      <c r="BB47" s="229">
        <f t="shared" si="118"/>
        <v>181.85714285714266</v>
      </c>
      <c r="BC47" s="229">
        <f t="shared" si="118"/>
        <v>1203.8571428571429</v>
      </c>
      <c r="BD47" s="229">
        <f t="shared" si="118"/>
        <v>351</v>
      </c>
      <c r="BE47" s="230">
        <f t="shared" ref="BE47" si="119">BE2-BE26</f>
        <v>420.71428571428578</v>
      </c>
    </row>
    <row r="48" spans="1:57" x14ac:dyDescent="0.2">
      <c r="A48" s="88" t="s">
        <v>35</v>
      </c>
      <c r="B48" s="73"/>
      <c r="C48" s="73"/>
      <c r="D48" s="73"/>
      <c r="E48" s="73"/>
      <c r="F48" s="73"/>
      <c r="G48" s="73"/>
      <c r="H48" s="73"/>
      <c r="I48" s="84">
        <f>ABS(I47)</f>
        <v>306</v>
      </c>
      <c r="J48" s="84">
        <f t="shared" ref="J48:BD48" si="120">ABS(J47)</f>
        <v>7</v>
      </c>
      <c r="K48" s="84">
        <f t="shared" si="120"/>
        <v>110</v>
      </c>
      <c r="L48" s="84">
        <f t="shared" si="120"/>
        <v>258</v>
      </c>
      <c r="M48" s="84">
        <f t="shared" si="120"/>
        <v>190</v>
      </c>
      <c r="N48" s="84">
        <f t="shared" si="120"/>
        <v>242</v>
      </c>
      <c r="O48" s="84">
        <f t="shared" si="120"/>
        <v>188</v>
      </c>
      <c r="P48" s="84">
        <f t="shared" si="120"/>
        <v>176</v>
      </c>
      <c r="Q48" s="84">
        <f t="shared" si="120"/>
        <v>535.5</v>
      </c>
      <c r="R48" s="84">
        <f t="shared" si="120"/>
        <v>22</v>
      </c>
      <c r="S48" s="84">
        <f t="shared" si="120"/>
        <v>279</v>
      </c>
      <c r="T48" s="84">
        <f t="shared" si="120"/>
        <v>32</v>
      </c>
      <c r="U48" s="84">
        <f t="shared" si="120"/>
        <v>111</v>
      </c>
      <c r="V48" s="84">
        <f t="shared" si="120"/>
        <v>124</v>
      </c>
      <c r="W48" s="84">
        <f t="shared" si="120"/>
        <v>133.33333333333326</v>
      </c>
      <c r="X48" s="84">
        <f t="shared" si="120"/>
        <v>344</v>
      </c>
      <c r="Y48" s="84">
        <f t="shared" si="120"/>
        <v>145.33333333333326</v>
      </c>
      <c r="Z48" s="84">
        <f t="shared" si="120"/>
        <v>37</v>
      </c>
      <c r="AA48" s="84">
        <f t="shared" si="120"/>
        <v>330.66666666666674</v>
      </c>
      <c r="AB48" s="84">
        <f t="shared" si="120"/>
        <v>154</v>
      </c>
      <c r="AC48" s="84">
        <f t="shared" si="120"/>
        <v>82.666666666666629</v>
      </c>
      <c r="AD48" s="84">
        <f t="shared" si="120"/>
        <v>44</v>
      </c>
      <c r="AE48" s="84">
        <f t="shared" si="120"/>
        <v>272</v>
      </c>
      <c r="AF48" s="84">
        <f t="shared" si="120"/>
        <v>78</v>
      </c>
      <c r="AG48" s="84">
        <f t="shared" si="120"/>
        <v>60.75</v>
      </c>
      <c r="AH48" s="84">
        <f t="shared" si="120"/>
        <v>40</v>
      </c>
      <c r="AI48" s="84">
        <f t="shared" si="120"/>
        <v>172.5</v>
      </c>
      <c r="AJ48" s="84">
        <f t="shared" si="120"/>
        <v>65</v>
      </c>
      <c r="AK48" s="84">
        <f t="shared" si="120"/>
        <v>1104.8</v>
      </c>
      <c r="AL48" s="84">
        <f t="shared" si="120"/>
        <v>817.40000000000009</v>
      </c>
      <c r="AM48" s="84">
        <f t="shared" si="120"/>
        <v>1128.5999999999999</v>
      </c>
      <c r="AN48" s="84">
        <f t="shared" si="120"/>
        <v>908.40000000000009</v>
      </c>
      <c r="AO48" s="84">
        <f t="shared" si="120"/>
        <v>789</v>
      </c>
      <c r="AP48" s="84">
        <f t="shared" si="120"/>
        <v>454</v>
      </c>
      <c r="AQ48" s="84">
        <f t="shared" si="120"/>
        <v>754</v>
      </c>
      <c r="AR48" s="84">
        <f t="shared" si="120"/>
        <v>1105.6666666666667</v>
      </c>
      <c r="AS48" s="84">
        <f t="shared" si="120"/>
        <v>283.16666666666652</v>
      </c>
      <c r="AT48" s="84">
        <f t="shared" si="120"/>
        <v>792.5</v>
      </c>
      <c r="AU48" s="84">
        <f t="shared" si="120"/>
        <v>1233</v>
      </c>
      <c r="AV48" s="84">
        <f t="shared" si="120"/>
        <v>522.5</v>
      </c>
      <c r="AW48" s="84">
        <f t="shared" si="120"/>
        <v>618.33333333333326</v>
      </c>
      <c r="AX48" s="84">
        <f t="shared" si="120"/>
        <v>249.33333333333326</v>
      </c>
      <c r="AY48" s="229">
        <f t="shared" si="120"/>
        <v>765.71428571428578</v>
      </c>
      <c r="AZ48" s="229">
        <f t="shared" si="120"/>
        <v>486.71428571428578</v>
      </c>
      <c r="BA48" s="229">
        <f t="shared" si="120"/>
        <v>772.28571428571422</v>
      </c>
      <c r="BB48" s="229">
        <f t="shared" si="120"/>
        <v>181.85714285714266</v>
      </c>
      <c r="BC48" s="229">
        <f t="shared" si="120"/>
        <v>1203.8571428571429</v>
      </c>
      <c r="BD48" s="229">
        <f t="shared" si="120"/>
        <v>351</v>
      </c>
      <c r="BE48" s="230">
        <f t="shared" ref="BE48" si="121">ABS(BE47)</f>
        <v>420.71428571428578</v>
      </c>
    </row>
    <row r="49" spans="1:57" ht="16" thickBot="1" x14ac:dyDescent="0.25">
      <c r="A49" s="89" t="s">
        <v>36</v>
      </c>
      <c r="B49" s="76"/>
      <c r="C49" s="76"/>
      <c r="D49" s="76"/>
      <c r="E49" s="76"/>
      <c r="F49" s="76"/>
      <c r="G49" s="76"/>
      <c r="H49" s="76"/>
      <c r="I49" s="85">
        <f>I47^2</f>
        <v>93636</v>
      </c>
      <c r="J49" s="85">
        <f t="shared" ref="J49:BD49" si="122">J47^2</f>
        <v>49</v>
      </c>
      <c r="K49" s="85">
        <f t="shared" si="122"/>
        <v>12100</v>
      </c>
      <c r="L49" s="85">
        <f t="shared" si="122"/>
        <v>66564</v>
      </c>
      <c r="M49" s="85">
        <f t="shared" si="122"/>
        <v>36100</v>
      </c>
      <c r="N49" s="85">
        <f t="shared" si="122"/>
        <v>58564</v>
      </c>
      <c r="O49" s="85">
        <f t="shared" si="122"/>
        <v>35344</v>
      </c>
      <c r="P49" s="85">
        <f t="shared" si="122"/>
        <v>30976</v>
      </c>
      <c r="Q49" s="85">
        <f t="shared" si="122"/>
        <v>286760.25</v>
      </c>
      <c r="R49" s="85">
        <f t="shared" si="122"/>
        <v>484</v>
      </c>
      <c r="S49" s="85">
        <f t="shared" si="122"/>
        <v>77841</v>
      </c>
      <c r="T49" s="85">
        <f t="shared" si="122"/>
        <v>1024</v>
      </c>
      <c r="U49" s="85">
        <f t="shared" si="122"/>
        <v>12321</v>
      </c>
      <c r="V49" s="85">
        <f t="shared" si="122"/>
        <v>15376</v>
      </c>
      <c r="W49" s="85">
        <f t="shared" si="122"/>
        <v>17777.777777777759</v>
      </c>
      <c r="X49" s="85">
        <f t="shared" si="122"/>
        <v>118336</v>
      </c>
      <c r="Y49" s="85">
        <f t="shared" si="122"/>
        <v>21121.777777777756</v>
      </c>
      <c r="Z49" s="85">
        <f t="shared" si="122"/>
        <v>1369</v>
      </c>
      <c r="AA49" s="85">
        <f t="shared" si="122"/>
        <v>109340.4444444445</v>
      </c>
      <c r="AB49" s="85">
        <f t="shared" si="122"/>
        <v>23716</v>
      </c>
      <c r="AC49" s="85">
        <f t="shared" si="122"/>
        <v>6833.7777777777719</v>
      </c>
      <c r="AD49" s="85">
        <f t="shared" si="122"/>
        <v>1936</v>
      </c>
      <c r="AE49" s="85">
        <f t="shared" si="122"/>
        <v>73984</v>
      </c>
      <c r="AF49" s="85">
        <f t="shared" si="122"/>
        <v>6084</v>
      </c>
      <c r="AG49" s="85">
        <f t="shared" si="122"/>
        <v>3690.5625</v>
      </c>
      <c r="AH49" s="85">
        <f t="shared" si="122"/>
        <v>1600</v>
      </c>
      <c r="AI49" s="85">
        <f t="shared" si="122"/>
        <v>29756.25</v>
      </c>
      <c r="AJ49" s="85">
        <f t="shared" si="122"/>
        <v>4225</v>
      </c>
      <c r="AK49" s="85">
        <f t="shared" si="122"/>
        <v>1220583.0399999998</v>
      </c>
      <c r="AL49" s="85">
        <f t="shared" si="122"/>
        <v>668142.76000000013</v>
      </c>
      <c r="AM49" s="85">
        <f t="shared" si="122"/>
        <v>1273737.9599999997</v>
      </c>
      <c r="AN49" s="85">
        <f t="shared" si="122"/>
        <v>825190.56000000017</v>
      </c>
      <c r="AO49" s="85">
        <f t="shared" si="122"/>
        <v>622521</v>
      </c>
      <c r="AP49" s="85">
        <f t="shared" si="122"/>
        <v>206116</v>
      </c>
      <c r="AQ49" s="85">
        <f t="shared" si="122"/>
        <v>568516</v>
      </c>
      <c r="AR49" s="85">
        <f t="shared" si="122"/>
        <v>1222498.777777778</v>
      </c>
      <c r="AS49" s="85">
        <f t="shared" si="122"/>
        <v>80183.361111111022</v>
      </c>
      <c r="AT49" s="85">
        <f t="shared" si="122"/>
        <v>628056.25</v>
      </c>
      <c r="AU49" s="85">
        <f t="shared" si="122"/>
        <v>1520289</v>
      </c>
      <c r="AV49" s="85">
        <f t="shared" si="122"/>
        <v>273006.25</v>
      </c>
      <c r="AW49" s="85">
        <f t="shared" si="122"/>
        <v>382336.11111111101</v>
      </c>
      <c r="AX49" s="85">
        <f t="shared" si="122"/>
        <v>62167.111111111073</v>
      </c>
      <c r="AY49" s="86">
        <f t="shared" si="122"/>
        <v>586318.36734693893</v>
      </c>
      <c r="AZ49" s="86">
        <f t="shared" si="122"/>
        <v>236890.7959183674</v>
      </c>
      <c r="BA49" s="86">
        <f t="shared" si="122"/>
        <v>596425.22448979586</v>
      </c>
      <c r="BB49" s="86">
        <f t="shared" si="122"/>
        <v>33072.020408163196</v>
      </c>
      <c r="BC49" s="86">
        <f t="shared" si="122"/>
        <v>1449272.0204081633</v>
      </c>
      <c r="BD49" s="86">
        <f t="shared" si="122"/>
        <v>123201</v>
      </c>
      <c r="BE49" s="231">
        <f t="shared" ref="BE49" si="123">BE47^2</f>
        <v>177000.51020408169</v>
      </c>
    </row>
    <row r="50" spans="1:57" ht="16" thickBot="1" x14ac:dyDescent="0.25">
      <c r="A50" s="5"/>
    </row>
    <row r="51" spans="1:57" x14ac:dyDescent="0.2">
      <c r="A51" s="87" t="s">
        <v>37</v>
      </c>
      <c r="B51" s="79"/>
      <c r="C51" s="79"/>
      <c r="D51" s="79"/>
      <c r="E51" s="79"/>
      <c r="F51" s="79"/>
      <c r="G51" s="79"/>
      <c r="H51" s="79"/>
      <c r="I51" s="82">
        <f>SUM($I$47:I47)/COUNT($I$47:I47)</f>
        <v>306</v>
      </c>
      <c r="J51" s="82">
        <f>SUM($I$47:J47)/COUNT($I$47:J47)</f>
        <v>156.5</v>
      </c>
      <c r="K51" s="82">
        <f>SUM($I$47:K47)/COUNT($I$47:K47)</f>
        <v>141</v>
      </c>
      <c r="L51" s="82">
        <f>SUM($I$47:L47)/COUNT($I$47:L47)</f>
        <v>170.25</v>
      </c>
      <c r="M51" s="82">
        <f>SUM($I$47:M47)/COUNT($I$47:M47)</f>
        <v>98.2</v>
      </c>
      <c r="N51" s="82">
        <f>SUM($I$47:N47)/COUNT($I$47:N47)</f>
        <v>41.5</v>
      </c>
      <c r="O51" s="82">
        <f>SUM($I$47:O47)/COUNT($I$47:O47)</f>
        <v>62.428571428571431</v>
      </c>
      <c r="P51" s="82">
        <f>SUM($I$47:P47)/COUNT($I$47:P47)</f>
        <v>76.625</v>
      </c>
      <c r="Q51" s="82">
        <f>SUM($I$47:Q47)/COUNT($I$47:Q47)</f>
        <v>8.6111111111111107</v>
      </c>
      <c r="R51" s="82">
        <f>SUM($I$47:R47)/COUNT($I$47:R47)</f>
        <v>5.55</v>
      </c>
      <c r="S51" s="82">
        <f>SUM($I$47:S47)/COUNT($I$47:S47)</f>
        <v>30.40909090909091</v>
      </c>
      <c r="T51" s="82">
        <f>SUM($I$47:T47)/COUNT($I$47:T47)</f>
        <v>25.208333333333332</v>
      </c>
      <c r="U51" s="82">
        <f>SUM($I$47:U47)/COUNT($I$47:U47)</f>
        <v>14.73076923076923</v>
      </c>
      <c r="V51" s="82">
        <f>SUM($I$47:V47)/COUNT($I$47:V47)</f>
        <v>22.535714285714285</v>
      </c>
      <c r="W51" s="82">
        <f>SUM($I$47:W47)/COUNT($I$47:W47)</f>
        <v>29.922222222222217</v>
      </c>
      <c r="X51" s="82">
        <f>SUM($I$47:X47)/COUNT($I$47:X47)</f>
        <v>6.5520833333333286</v>
      </c>
      <c r="Y51" s="82">
        <f>SUM($I$47:Y47)/COUNT($I$47:Y47)</f>
        <v>14.715686274509794</v>
      </c>
      <c r="Z51" s="82">
        <f>SUM($I$47:Z47)/COUNT($I$47:Z47)</f>
        <v>11.842592592592585</v>
      </c>
      <c r="AA51" s="82">
        <f>SUM($I$47:AA47)/COUNT($I$47:AA47)</f>
        <v>28.622807017543856</v>
      </c>
      <c r="AB51" s="82">
        <f>SUM($I$47:AB47)/COUNT($I$47:AB47)</f>
        <v>34.891666666666666</v>
      </c>
      <c r="AC51" s="82">
        <f>SUM($I$47:AC47)/COUNT($I$47:AC47)</f>
        <v>37.166666666666664</v>
      </c>
      <c r="AD51" s="82">
        <f>SUM($I$47:AD47)/COUNT($I$47:AD47)</f>
        <v>33.47727272727272</v>
      </c>
      <c r="AE51" s="82">
        <f>SUM($I$47:AE47)/COUNT($I$47:AE47)</f>
        <v>20.195652173913039</v>
      </c>
      <c r="AF51" s="82">
        <f>SUM($I$47:AF47)/COUNT($I$47:AF47)</f>
        <v>16.104166666666661</v>
      </c>
      <c r="AG51" s="82">
        <f>SUM($I$47:AG47)/COUNT($I$47:AG47)</f>
        <v>13.029999999999996</v>
      </c>
      <c r="AH51" s="82">
        <f>SUM($I$47:AH47)/COUNT($I$47:AH47)</f>
        <v>14.067307692307688</v>
      </c>
      <c r="AI51" s="82">
        <f>SUM($I$47:AI47)/COUNT($I$47:AI47)</f>
        <v>7.157407407407403</v>
      </c>
      <c r="AJ51" s="82">
        <f>SUM($I$47:AJ47)/COUNT($I$47:AJ47)</f>
        <v>9.2232142857142811</v>
      </c>
      <c r="AK51" s="82">
        <f>SUM($I$47:AK47)/COUNT($I$47:AK47)</f>
        <v>47.001724137931028</v>
      </c>
      <c r="AL51" s="82">
        <f>SUM($I$47:AL47)/COUNT($I$47:AL47)</f>
        <v>72.681666666666658</v>
      </c>
      <c r="AM51" s="82">
        <f>SUM($I$47:AM47)/COUNT($I$47:AM47)</f>
        <v>106.74354838709677</v>
      </c>
      <c r="AN51" s="82">
        <f>SUM($I$47:AN47)/COUNT($I$47:AN47)</f>
        <v>131.79531249999999</v>
      </c>
      <c r="AO51" s="82">
        <f>SUM($I$47:AO47)/COUNT($I$47:AO47)</f>
        <v>151.71060606060607</v>
      </c>
      <c r="AP51" s="82">
        <f>SUM($I$47:AP47)/COUNT($I$47:AP47)</f>
        <v>160.60147058823529</v>
      </c>
      <c r="AQ51" s="82">
        <f>SUM($I$47:AQ47)/COUNT($I$47:AQ47)</f>
        <v>177.55571428571429</v>
      </c>
      <c r="AR51" s="82">
        <f>SUM($I$47:AR47)/COUNT($I$47:AR47)</f>
        <v>203.33657407407406</v>
      </c>
      <c r="AS51" s="82">
        <f>SUM($I$47:AS47)/COUNT($I$47:AS47)</f>
        <v>205.49414414414414</v>
      </c>
      <c r="AT51" s="82">
        <f>SUM($I$47:AT47)/COUNT($I$47:AT47)</f>
        <v>220.94166666666666</v>
      </c>
      <c r="AU51" s="82">
        <f>SUM($I$47:AU47)/COUNT($I$47:AU47)</f>
        <v>246.89188034188032</v>
      </c>
      <c r="AV51" s="82">
        <f>SUM($I$47:AV47)/COUNT($I$47:AV47)</f>
        <v>253.78208333333333</v>
      </c>
      <c r="AW51" s="82">
        <f>SUM($I$47:AW47)/COUNT($I$47:AW47)</f>
        <v>262.67357723577237</v>
      </c>
      <c r="AX51" s="82">
        <f>SUM($I$47:AX47)/COUNT($I$47:AX47)</f>
        <v>262.35595238095237</v>
      </c>
      <c r="AY51" s="83">
        <f>SUM($AY$47:AY47)/COUNT($AY$47:AY47)</f>
        <v>765.71428571428578</v>
      </c>
      <c r="AZ51" s="83">
        <f>SUM($AY$47:AZ47)/COUNT($AY$47:AZ47)</f>
        <v>626.21428571428578</v>
      </c>
      <c r="BA51" s="83">
        <f>SUM($AY$47:BA47)/COUNT($AY$47:BA47)</f>
        <v>674.90476190476193</v>
      </c>
      <c r="BB51" s="83">
        <f>SUM($AY$47:BB47)/COUNT($AY$47:BB47)</f>
        <v>551.64285714285711</v>
      </c>
      <c r="BC51" s="83">
        <f>SUM($AY$47:BC47)/COUNT($AY$47:BC47)</f>
        <v>682.08571428571429</v>
      </c>
      <c r="BD51" s="83">
        <f>SUM($AY$47:BD47)/COUNT($AY$47:BD47)</f>
        <v>626.90476190476193</v>
      </c>
      <c r="BE51" s="228">
        <f>SUM($AY$47:BE47)/COUNT($AY$47:BE47)</f>
        <v>597.44897959183675</v>
      </c>
    </row>
    <row r="52" spans="1:57" x14ac:dyDescent="0.2">
      <c r="A52" s="88" t="s">
        <v>38</v>
      </c>
      <c r="B52" s="73"/>
      <c r="C52" s="73"/>
      <c r="D52" s="73"/>
      <c r="E52" s="73"/>
      <c r="F52" s="73"/>
      <c r="G52" s="73"/>
      <c r="H52" s="73"/>
      <c r="I52" s="84">
        <f>SUM($I$48:I48)/COUNT($I$48:I48)</f>
        <v>306</v>
      </c>
      <c r="J52" s="84">
        <f>SUM($I$48:J48)/COUNT($I$48:J48)</f>
        <v>156.5</v>
      </c>
      <c r="K52" s="84">
        <f>SUM($I$48:K48)/COUNT($I$48:K48)</f>
        <v>141</v>
      </c>
      <c r="L52" s="84">
        <f>SUM($I$48:L48)/COUNT($I$48:L48)</f>
        <v>170.25</v>
      </c>
      <c r="M52" s="84">
        <f>SUM($I$48:M48)/COUNT($I$48:M48)</f>
        <v>174.2</v>
      </c>
      <c r="N52" s="84">
        <f>SUM($I$48:N48)/COUNT($I$48:N48)</f>
        <v>185.5</v>
      </c>
      <c r="O52" s="84">
        <f>SUM($I$48:O48)/COUNT($I$48:O48)</f>
        <v>185.85714285714286</v>
      </c>
      <c r="P52" s="84">
        <f>SUM($I$48:P48)/COUNT($I$48:P48)</f>
        <v>184.625</v>
      </c>
      <c r="Q52" s="84">
        <f>SUM($I$48:Q48)/COUNT($I$48:Q48)</f>
        <v>223.61111111111111</v>
      </c>
      <c r="R52" s="84">
        <f>SUM($I$48:R48)/COUNT($I$48:R48)</f>
        <v>203.45</v>
      </c>
      <c r="S52" s="84">
        <f>SUM($I$48:S48)/COUNT($I$48:S48)</f>
        <v>210.31818181818181</v>
      </c>
      <c r="T52" s="84">
        <f>SUM($I$48:T48)/COUNT($I$48:T48)</f>
        <v>195.45833333333334</v>
      </c>
      <c r="U52" s="84">
        <f>SUM($I$48:U48)/COUNT($I$48:U48)</f>
        <v>188.96153846153845</v>
      </c>
      <c r="V52" s="84">
        <f>SUM($I$48:V48)/COUNT($I$48:V48)</f>
        <v>184.32142857142858</v>
      </c>
      <c r="W52" s="84">
        <f>SUM($I$48:W48)/COUNT($I$48:W48)</f>
        <v>180.92222222222219</v>
      </c>
      <c r="X52" s="84">
        <f>SUM($I$48:X48)/COUNT($I$48:X48)</f>
        <v>191.11458333333331</v>
      </c>
      <c r="Y52" s="84">
        <f>SUM($I$48:Y48)/COUNT($I$48:Y48)</f>
        <v>188.42156862745094</v>
      </c>
      <c r="Z52" s="84">
        <f>SUM($I$48:Z48)/COUNT($I$48:Z48)</f>
        <v>180.00925925925924</v>
      </c>
      <c r="AA52" s="84">
        <f>SUM($I$48:AA48)/COUNT($I$48:AA48)</f>
        <v>187.93859649122805</v>
      </c>
      <c r="AB52" s="84">
        <f>SUM($I$48:AB48)/COUNT($I$48:AB48)</f>
        <v>186.24166666666665</v>
      </c>
      <c r="AC52" s="84">
        <f>SUM($I$48:AC48)/COUNT($I$48:AC48)</f>
        <v>181.3095238095238</v>
      </c>
      <c r="AD52" s="84">
        <f>SUM($I$48:AD48)/COUNT($I$48:AD48)</f>
        <v>175.06818181818178</v>
      </c>
      <c r="AE52" s="84">
        <f>SUM($I$48:AE48)/COUNT($I$48:AE48)</f>
        <v>179.28260869565219</v>
      </c>
      <c r="AF52" s="84">
        <f>SUM($I$48:AF48)/COUNT($I$48:AF48)</f>
        <v>175.0625</v>
      </c>
      <c r="AG52" s="84">
        <f>SUM($I$48:AG48)/COUNT($I$48:AG48)</f>
        <v>170.49</v>
      </c>
      <c r="AH52" s="84">
        <f>SUM($I$48:AH48)/COUNT($I$48:AH48)</f>
        <v>165.47115384615384</v>
      </c>
      <c r="AI52" s="84">
        <f>SUM($I$48:AI48)/COUNT($I$48:AI48)</f>
        <v>165.7314814814815</v>
      </c>
      <c r="AJ52" s="84">
        <f>SUM($I$48:AJ48)/COUNT($I$48:AJ48)</f>
        <v>162.13392857142858</v>
      </c>
      <c r="AK52" s="84">
        <f>SUM($I$48:AK48)/COUNT($I$48:AK48)</f>
        <v>194.6396551724138</v>
      </c>
      <c r="AL52" s="84">
        <f>SUM($I$48:AL48)/COUNT($I$48:AL48)</f>
        <v>215.39833333333337</v>
      </c>
      <c r="AM52" s="84">
        <f>SUM($I$48:AM48)/COUNT($I$48:AM48)</f>
        <v>244.85645161290327</v>
      </c>
      <c r="AN52" s="84">
        <f>SUM($I$48:AN48)/COUNT($I$48:AN48)</f>
        <v>265.59218750000002</v>
      </c>
      <c r="AO52" s="84">
        <f>SUM($I$48:AO48)/COUNT($I$48:AO48)</f>
        <v>281.45303030303035</v>
      </c>
      <c r="AP52" s="84">
        <f>SUM($I$48:AP48)/COUNT($I$48:AP48)</f>
        <v>286.52794117647062</v>
      </c>
      <c r="AQ52" s="84">
        <f>SUM($I$48:AQ48)/COUNT($I$48:AQ48)</f>
        <v>299.88428571428574</v>
      </c>
      <c r="AR52" s="84">
        <f>SUM($I$48:AR48)/COUNT($I$48:AR48)</f>
        <v>322.26712962962961</v>
      </c>
      <c r="AS52" s="84">
        <f>SUM($I$48:AS48)/COUNT($I$48:AS48)</f>
        <v>321.21036036036037</v>
      </c>
      <c r="AT52" s="84">
        <f>SUM($I$48:AT48)/COUNT($I$48:AT48)</f>
        <v>333.61271929824562</v>
      </c>
      <c r="AU52" s="84">
        <f>SUM($I$48:AU48)/COUNT($I$48:AU48)</f>
        <v>356.67393162393159</v>
      </c>
      <c r="AV52" s="84">
        <f>SUM($I$48:AV48)/COUNT($I$48:AV48)</f>
        <v>360.8195833333333</v>
      </c>
      <c r="AW52" s="84">
        <f>SUM($I$48:AW48)/COUNT($I$48:AW48)</f>
        <v>367.10040650406506</v>
      </c>
      <c r="AX52" s="84">
        <f>SUM($I$48:AX48)/COUNT($I$48:AX48)</f>
        <v>364.29642857142858</v>
      </c>
      <c r="AY52" s="229">
        <f>SUM($AY$48:AY48)/COUNT($AY$48:AY48)</f>
        <v>765.71428571428578</v>
      </c>
      <c r="AZ52" s="229">
        <f>SUM($AY$48:AZ48)/COUNT($AY$48:AZ48)</f>
        <v>626.21428571428578</v>
      </c>
      <c r="BA52" s="229">
        <f>SUM($AY$48:BA48)/COUNT($AY$48:BA48)</f>
        <v>674.90476190476193</v>
      </c>
      <c r="BB52" s="229">
        <f>SUM($AY$48:BB48)/COUNT($AY$48:BB48)</f>
        <v>551.64285714285711</v>
      </c>
      <c r="BC52" s="229">
        <f>SUM($AY$48:BC48)/COUNT($AY$48:BC48)</f>
        <v>682.08571428571429</v>
      </c>
      <c r="BD52" s="229">
        <f>SUM($AY$48:BD48)/COUNT($AY$48:BD48)</f>
        <v>626.90476190476193</v>
      </c>
      <c r="BE52" s="230">
        <f>SUM($AY$48:BE48)/COUNT($AY$48:BE48)</f>
        <v>597.44897959183675</v>
      </c>
    </row>
    <row r="53" spans="1:57" x14ac:dyDescent="0.2">
      <c r="A53" s="88" t="s">
        <v>39</v>
      </c>
      <c r="B53" s="73"/>
      <c r="C53" s="73"/>
      <c r="D53" s="73"/>
      <c r="E53" s="73"/>
      <c r="F53" s="73"/>
      <c r="G53" s="73"/>
      <c r="H53" s="73"/>
      <c r="I53" s="84">
        <f>SUM($I$49:I49)/COUNT($I$49:I49)</f>
        <v>93636</v>
      </c>
      <c r="J53" s="84">
        <f>SUM($I$49:J49)/COUNT($I$49:J49)</f>
        <v>46842.5</v>
      </c>
      <c r="K53" s="84">
        <f>SUM($I$49:K49)/COUNT($I$49:K49)</f>
        <v>35261.666666666664</v>
      </c>
      <c r="L53" s="84">
        <f>SUM($I$49:L49)/COUNT($I$49:L49)</f>
        <v>43087.25</v>
      </c>
      <c r="M53" s="84">
        <f>SUM($I$49:M49)/COUNT($I$49:M49)</f>
        <v>41689.800000000003</v>
      </c>
      <c r="N53" s="84">
        <f>SUM($I$49:N49)/COUNT($I$49:N49)</f>
        <v>44502.166666666664</v>
      </c>
      <c r="O53" s="84">
        <f>SUM($I$49:O49)/COUNT($I$49:O49)</f>
        <v>43193.857142857145</v>
      </c>
      <c r="P53" s="84">
        <f>SUM($I$49:P49)/COUNT($I$49:P49)</f>
        <v>41666.625</v>
      </c>
      <c r="Q53" s="84">
        <f>SUM($I$49:Q49)/COUNT($I$49:Q49)</f>
        <v>68899.25</v>
      </c>
      <c r="R53" s="84">
        <f>SUM($I$49:R49)/COUNT($I$49:R49)</f>
        <v>62057.724999999999</v>
      </c>
      <c r="S53" s="84">
        <f>SUM($I$49:S49)/COUNT($I$49:S49)</f>
        <v>63492.568181818184</v>
      </c>
      <c r="T53" s="84">
        <f>SUM($I$49:T49)/COUNT($I$49:T49)</f>
        <v>58286.854166666664</v>
      </c>
      <c r="U53" s="84">
        <f>SUM($I$49:U49)/COUNT($I$49:U49)</f>
        <v>54751.019230769234</v>
      </c>
      <c r="V53" s="84">
        <f>SUM($I$49:V49)/COUNT($I$49:V49)</f>
        <v>51938.517857142855</v>
      </c>
      <c r="W53" s="84">
        <f>SUM($I$49:W49)/COUNT($I$49:W49)</f>
        <v>49661.135185185187</v>
      </c>
      <c r="X53" s="84">
        <f>SUM($I$49:X49)/COUNT($I$49:X49)</f>
        <v>53953.314236111109</v>
      </c>
      <c r="Y53" s="84">
        <f>SUM($I$49:Y49)/COUNT($I$49:Y49)</f>
        <v>52022.047385620914</v>
      </c>
      <c r="Z53" s="84">
        <f>SUM($I$49:Z49)/COUNT($I$49:Z49)</f>
        <v>49207.989197530864</v>
      </c>
      <c r="AA53" s="84">
        <f>SUM($I$49:AA49)/COUNT($I$49:AA49)</f>
        <v>52372.855263157893</v>
      </c>
      <c r="AB53" s="84">
        <f>SUM($I$49:AB49)/COUNT($I$49:AB49)</f>
        <v>50940.012499999997</v>
      </c>
      <c r="AC53" s="84">
        <f>SUM($I$49:AC49)/COUNT($I$49:AC49)</f>
        <v>48839.715608465609</v>
      </c>
      <c r="AD53" s="84">
        <f>SUM($I$49:AD49)/COUNT($I$49:AD49)</f>
        <v>46707.728535353534</v>
      </c>
      <c r="AE53" s="84">
        <f>SUM($I$49:AE49)/COUNT($I$49:AE49)</f>
        <v>47893.653381642514</v>
      </c>
      <c r="AF53" s="84">
        <f>SUM($I$49:AF49)/COUNT($I$49:AF49)</f>
        <v>46151.584490740737</v>
      </c>
      <c r="AG53" s="84">
        <f>SUM($I$49:AG49)/COUNT($I$49:AG49)</f>
        <v>44453.143611111111</v>
      </c>
      <c r="AH53" s="84">
        <f>SUM($I$49:AH49)/COUNT($I$49:AH49)</f>
        <v>42804.945779914531</v>
      </c>
      <c r="AI53" s="84">
        <f>SUM($I$49:AI49)/COUNT($I$49:AI49)</f>
        <v>42321.660751028809</v>
      </c>
      <c r="AJ53" s="84">
        <f>SUM($I$49:AJ49)/COUNT($I$49:AJ49)</f>
        <v>40961.065724206346</v>
      </c>
      <c r="AK53" s="84">
        <f>SUM($I$49:AK49)/COUNT($I$49:AK49)</f>
        <v>81637.685526819914</v>
      </c>
      <c r="AL53" s="84">
        <f>SUM($I$49:AL49)/COUNT($I$49:AL49)</f>
        <v>101187.85467592593</v>
      </c>
      <c r="AM53" s="84">
        <f>SUM($I$49:AM49)/COUNT($I$49:AM49)</f>
        <v>139012.05162186379</v>
      </c>
      <c r="AN53" s="84">
        <f>SUM($I$49:AN49)/COUNT($I$49:AN49)</f>
        <v>160455.13000868057</v>
      </c>
      <c r="AO53" s="84">
        <f>SUM($I$49:AO49)/COUNT($I$49:AO49)</f>
        <v>174457.12606902359</v>
      </c>
      <c r="AP53" s="84">
        <f>SUM($I$49:AP49)/COUNT($I$49:AP49)</f>
        <v>175388.26941993466</v>
      </c>
      <c r="AQ53" s="84">
        <f>SUM($I$49:AQ49)/COUNT($I$49:AQ49)</f>
        <v>186620.4902936508</v>
      </c>
      <c r="AR53" s="84">
        <f>SUM($I$49:AR49)/COUNT($I$49:AR49)</f>
        <v>215394.88716820988</v>
      </c>
      <c r="AS53" s="84">
        <f>SUM($I$49:AS49)/COUNT($I$49:AS49)</f>
        <v>211740.52159909913</v>
      </c>
      <c r="AT53" s="84">
        <f>SUM($I$49:AT49)/COUNT($I$49:AT49)</f>
        <v>222696.19866228075</v>
      </c>
      <c r="AU53" s="84">
        <f>SUM($I$49:AU49)/COUNT($I$49:AU49)</f>
        <v>255967.8089529915</v>
      </c>
      <c r="AV53" s="84">
        <f>SUM($I$49:AV49)/COUNT($I$49:AV49)</f>
        <v>256393.76997916671</v>
      </c>
      <c r="AW53" s="84">
        <f>SUM($I$49:AW49)/COUNT($I$49:AW49)</f>
        <v>259465.53439701902</v>
      </c>
      <c r="AX53" s="84">
        <f>SUM($I$49:AX49)/COUNT($I$49:AX49)</f>
        <v>254767.95289021172</v>
      </c>
      <c r="AY53" s="229">
        <f>SUM($AY$49:AY49)/COUNT($AY$49:AY49)</f>
        <v>586318.36734693893</v>
      </c>
      <c r="AZ53" s="229">
        <f>SUM($AY$49:AZ49)/COUNT($AY$49:AZ49)</f>
        <v>411604.58163265313</v>
      </c>
      <c r="BA53" s="229">
        <f>SUM($AY$49:BA49)/COUNT($AY$49:BA49)</f>
        <v>473211.46258503402</v>
      </c>
      <c r="BB53" s="229">
        <f>SUM($AY$49:BB49)/COUNT($AY$49:BB49)</f>
        <v>363176.60204081633</v>
      </c>
      <c r="BC53" s="229">
        <f>SUM($AY$49:BC49)/COUNT($AY$49:BC49)</f>
        <v>580395.6857142857</v>
      </c>
      <c r="BD53" s="229">
        <f>SUM($AY$49:BD49)/COUNT($AY$49:BD49)</f>
        <v>504196.57142857142</v>
      </c>
      <c r="BE53" s="230">
        <f>SUM($AY$49:BE49)/COUNT($AY$49:BE49)</f>
        <v>457454.27696793008</v>
      </c>
    </row>
    <row r="54" spans="1:57" ht="16" thickBot="1" x14ac:dyDescent="0.25">
      <c r="A54" s="89" t="s">
        <v>40</v>
      </c>
      <c r="B54" s="76"/>
      <c r="C54" s="76"/>
      <c r="D54" s="76"/>
      <c r="E54" s="76"/>
      <c r="F54" s="76"/>
      <c r="G54" s="76"/>
      <c r="H54" s="76"/>
      <c r="I54" s="85">
        <f>SQRT(I53)</f>
        <v>306</v>
      </c>
      <c r="J54" s="85">
        <f t="shared" ref="J54:BD54" si="124">SQRT(J53)</f>
        <v>216.431282396977</v>
      </c>
      <c r="K54" s="85">
        <f t="shared" si="124"/>
        <v>187.78090069723987</v>
      </c>
      <c r="L54" s="85">
        <f t="shared" si="124"/>
        <v>207.57468535445261</v>
      </c>
      <c r="M54" s="85">
        <f t="shared" si="124"/>
        <v>204.18080223174755</v>
      </c>
      <c r="N54" s="85">
        <f t="shared" si="124"/>
        <v>210.95536652729805</v>
      </c>
      <c r="O54" s="85">
        <f t="shared" si="124"/>
        <v>207.8313189653021</v>
      </c>
      <c r="P54" s="85">
        <f t="shared" si="124"/>
        <v>204.12404316983339</v>
      </c>
      <c r="Q54" s="85">
        <f t="shared" si="124"/>
        <v>262.48666632802514</v>
      </c>
      <c r="R54" s="85">
        <f t="shared" si="124"/>
        <v>249.11387958120679</v>
      </c>
      <c r="S54" s="85">
        <f t="shared" si="124"/>
        <v>251.97731680017981</v>
      </c>
      <c r="T54" s="85">
        <f t="shared" si="124"/>
        <v>241.42670557887058</v>
      </c>
      <c r="U54" s="85">
        <f t="shared" si="124"/>
        <v>233.98935708867023</v>
      </c>
      <c r="V54" s="85">
        <f t="shared" si="124"/>
        <v>227.90023663248544</v>
      </c>
      <c r="W54" s="85">
        <f t="shared" si="124"/>
        <v>222.84778478859778</v>
      </c>
      <c r="X54" s="85">
        <f t="shared" si="124"/>
        <v>232.27852728160454</v>
      </c>
      <c r="Y54" s="85">
        <f t="shared" si="124"/>
        <v>228.08342198770367</v>
      </c>
      <c r="Z54" s="85">
        <f t="shared" si="124"/>
        <v>221.82873843920868</v>
      </c>
      <c r="AA54" s="85">
        <f t="shared" si="124"/>
        <v>228.85116399782171</v>
      </c>
      <c r="AB54" s="85">
        <f t="shared" si="124"/>
        <v>225.69894217740585</v>
      </c>
      <c r="AC54" s="85">
        <f t="shared" si="124"/>
        <v>220.99709411769561</v>
      </c>
      <c r="AD54" s="85">
        <f t="shared" si="124"/>
        <v>216.11970880822864</v>
      </c>
      <c r="AE54" s="85">
        <f t="shared" si="124"/>
        <v>218.84618658236317</v>
      </c>
      <c r="AF54" s="85">
        <f t="shared" si="124"/>
        <v>214.82919841292696</v>
      </c>
      <c r="AG54" s="85">
        <f t="shared" si="124"/>
        <v>210.83914155372364</v>
      </c>
      <c r="AH54" s="85">
        <f t="shared" si="124"/>
        <v>206.89356147525359</v>
      </c>
      <c r="AI54" s="85">
        <f t="shared" si="124"/>
        <v>205.72229036015716</v>
      </c>
      <c r="AJ54" s="85">
        <f t="shared" si="124"/>
        <v>202.38840313665787</v>
      </c>
      <c r="AK54" s="85">
        <f t="shared" si="124"/>
        <v>285.72309239335192</v>
      </c>
      <c r="AL54" s="85">
        <f t="shared" si="124"/>
        <v>318.10038458940272</v>
      </c>
      <c r="AM54" s="85">
        <f t="shared" si="124"/>
        <v>372.84319977956392</v>
      </c>
      <c r="AN54" s="85">
        <f t="shared" si="124"/>
        <v>400.56850850844552</v>
      </c>
      <c r="AO54" s="85">
        <f t="shared" si="124"/>
        <v>417.68065081952693</v>
      </c>
      <c r="AP54" s="85">
        <f t="shared" si="124"/>
        <v>418.7938268646455</v>
      </c>
      <c r="AQ54" s="85">
        <f t="shared" si="124"/>
        <v>431.99593782077488</v>
      </c>
      <c r="AR54" s="85">
        <f t="shared" si="124"/>
        <v>464.10654721541033</v>
      </c>
      <c r="AS54" s="85">
        <f t="shared" si="124"/>
        <v>460.1527155185538</v>
      </c>
      <c r="AT54" s="85">
        <f t="shared" si="124"/>
        <v>471.90698094251661</v>
      </c>
      <c r="AU54" s="85">
        <f t="shared" si="124"/>
        <v>505.93261305532724</v>
      </c>
      <c r="AV54" s="85">
        <f t="shared" si="124"/>
        <v>506.35340423380853</v>
      </c>
      <c r="AW54" s="85">
        <f t="shared" si="124"/>
        <v>509.37759510702767</v>
      </c>
      <c r="AX54" s="85">
        <f t="shared" si="124"/>
        <v>504.74543374874798</v>
      </c>
      <c r="AY54" s="86">
        <f t="shared" si="124"/>
        <v>765.71428571428578</v>
      </c>
      <c r="AZ54" s="86">
        <f t="shared" si="124"/>
        <v>641.56416797749318</v>
      </c>
      <c r="BA54" s="86">
        <f t="shared" si="124"/>
        <v>687.90367246078426</v>
      </c>
      <c r="BB54" s="86">
        <f t="shared" si="124"/>
        <v>602.64135440642997</v>
      </c>
      <c r="BC54" s="86">
        <f t="shared" si="124"/>
        <v>761.83704669324504</v>
      </c>
      <c r="BD54" s="86">
        <f t="shared" si="124"/>
        <v>710.06800479149274</v>
      </c>
      <c r="BE54" s="231">
        <f t="shared" ref="BE54" si="125">SQRT(BE53)</f>
        <v>676.35366264102549</v>
      </c>
    </row>
    <row r="55" spans="1:57" ht="16" thickBot="1" x14ac:dyDescent="0.25">
      <c r="A55" s="5"/>
    </row>
    <row r="56" spans="1:57" x14ac:dyDescent="0.2">
      <c r="A56" s="87" t="s">
        <v>59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92"/>
      <c r="AZ56" s="92"/>
      <c r="BA56" s="92"/>
      <c r="BB56" s="92"/>
      <c r="BC56" s="92"/>
      <c r="BD56" s="92"/>
      <c r="BE56" s="80"/>
    </row>
    <row r="57" spans="1:57" x14ac:dyDescent="0.2">
      <c r="A57" s="88" t="s">
        <v>34</v>
      </c>
      <c r="B57" s="73"/>
      <c r="C57" s="73"/>
      <c r="D57" s="73"/>
      <c r="E57" s="73"/>
      <c r="F57" s="73"/>
      <c r="G57" s="73"/>
      <c r="H57" s="73"/>
      <c r="I57" s="84">
        <f>I2-I42</f>
        <v>306</v>
      </c>
      <c r="J57" s="84">
        <f t="shared" ref="J57:BD57" si="126">J2-J42</f>
        <v>7</v>
      </c>
      <c r="K57" s="84">
        <f t="shared" si="126"/>
        <v>110</v>
      </c>
      <c r="L57" s="84">
        <f t="shared" si="126"/>
        <v>258.00000000000023</v>
      </c>
      <c r="M57" s="84">
        <f t="shared" si="126"/>
        <v>-190</v>
      </c>
      <c r="N57" s="84">
        <f t="shared" si="126"/>
        <v>-242</v>
      </c>
      <c r="O57" s="84">
        <f t="shared" si="126"/>
        <v>187.99999999999989</v>
      </c>
      <c r="P57" s="84">
        <f t="shared" si="126"/>
        <v>23</v>
      </c>
      <c r="Q57" s="84">
        <f t="shared" si="126"/>
        <v>-539</v>
      </c>
      <c r="R57" s="84">
        <f t="shared" si="126"/>
        <v>-77</v>
      </c>
      <c r="S57" s="84">
        <f t="shared" si="126"/>
        <v>149.99999999999977</v>
      </c>
      <c r="T57" s="84">
        <f t="shared" si="126"/>
        <v>63</v>
      </c>
      <c r="U57" s="84">
        <f t="shared" si="126"/>
        <v>10.000000000000114</v>
      </c>
      <c r="V57" s="84">
        <f t="shared" si="126"/>
        <v>30</v>
      </c>
      <c r="W57" s="84">
        <f t="shared" si="126"/>
        <v>16</v>
      </c>
      <c r="X57" s="84">
        <f t="shared" si="126"/>
        <v>13</v>
      </c>
      <c r="Y57" s="84">
        <f t="shared" si="126"/>
        <v>160</v>
      </c>
      <c r="Z57" s="84">
        <f t="shared" si="126"/>
        <v>-223</v>
      </c>
      <c r="AA57" s="84">
        <f t="shared" si="126"/>
        <v>352</v>
      </c>
      <c r="AB57" s="84">
        <f t="shared" si="126"/>
        <v>228</v>
      </c>
      <c r="AC57" s="84">
        <f t="shared" si="126"/>
        <v>0</v>
      </c>
      <c r="AD57" s="84">
        <f t="shared" si="126"/>
        <v>-144</v>
      </c>
      <c r="AE57" s="84">
        <f t="shared" si="126"/>
        <v>-14</v>
      </c>
      <c r="AF57" s="84">
        <f t="shared" si="126"/>
        <v>-187</v>
      </c>
      <c r="AG57" s="84">
        <f t="shared" si="126"/>
        <v>-33.000000000000227</v>
      </c>
      <c r="AH57" s="84">
        <f t="shared" si="126"/>
        <v>-208</v>
      </c>
      <c r="AI57" s="84">
        <f t="shared" si="126"/>
        <v>-288</v>
      </c>
      <c r="AJ57" s="84">
        <f t="shared" si="126"/>
        <v>3</v>
      </c>
      <c r="AK57" s="84">
        <f t="shared" si="126"/>
        <v>1139.9999999999998</v>
      </c>
      <c r="AL57" s="84">
        <f t="shared" si="126"/>
        <v>1034.9999999999998</v>
      </c>
      <c r="AM57" s="84">
        <f t="shared" si="126"/>
        <v>1191</v>
      </c>
      <c r="AN57" s="84">
        <f t="shared" si="126"/>
        <v>957.00000000000023</v>
      </c>
      <c r="AO57" s="84">
        <f t="shared" si="126"/>
        <v>757</v>
      </c>
      <c r="AP57" s="84">
        <f t="shared" si="126"/>
        <v>592</v>
      </c>
      <c r="AQ57" s="84">
        <f t="shared" si="126"/>
        <v>702</v>
      </c>
      <c r="AR57" s="84">
        <f t="shared" si="126"/>
        <v>185</v>
      </c>
      <c r="AS57" s="84">
        <f t="shared" si="126"/>
        <v>-398</v>
      </c>
      <c r="AT57" s="84">
        <f t="shared" si="126"/>
        <v>-148</v>
      </c>
      <c r="AU57" s="84">
        <f t="shared" si="126"/>
        <v>476</v>
      </c>
      <c r="AV57" s="84">
        <f t="shared" si="126"/>
        <v>-135</v>
      </c>
      <c r="AW57" s="84">
        <f t="shared" si="126"/>
        <v>240.00000000000023</v>
      </c>
      <c r="AX57" s="84">
        <f t="shared" si="126"/>
        <v>-379.00000000000023</v>
      </c>
      <c r="AY57" s="229">
        <f t="shared" si="126"/>
        <v>-181.99999999999955</v>
      </c>
      <c r="AZ57" s="229">
        <f t="shared" si="126"/>
        <v>244</v>
      </c>
      <c r="BA57" s="229">
        <f t="shared" si="126"/>
        <v>93</v>
      </c>
      <c r="BB57" s="229">
        <f t="shared" si="126"/>
        <v>-875</v>
      </c>
      <c r="BC57" s="229">
        <f t="shared" si="126"/>
        <v>756</v>
      </c>
      <c r="BD57" s="229">
        <f t="shared" si="126"/>
        <v>-179</v>
      </c>
      <c r="BE57" s="230">
        <f t="shared" ref="BE57" si="127">BE2-BE42</f>
        <v>207</v>
      </c>
    </row>
    <row r="58" spans="1:57" x14ac:dyDescent="0.2">
      <c r="A58" s="88" t="s">
        <v>35</v>
      </c>
      <c r="B58" s="73"/>
      <c r="C58" s="73"/>
      <c r="D58" s="73"/>
      <c r="E58" s="73"/>
      <c r="F58" s="73"/>
      <c r="G58" s="73"/>
      <c r="H58" s="73"/>
      <c r="I58" s="84">
        <f>ABS(I57)</f>
        <v>306</v>
      </c>
      <c r="J58" s="84">
        <f t="shared" ref="J58:BD58" si="128">ABS(J57)</f>
        <v>7</v>
      </c>
      <c r="K58" s="84">
        <f t="shared" si="128"/>
        <v>110</v>
      </c>
      <c r="L58" s="84">
        <f t="shared" si="128"/>
        <v>258.00000000000023</v>
      </c>
      <c r="M58" s="84">
        <f t="shared" si="128"/>
        <v>190</v>
      </c>
      <c r="N58" s="84">
        <f t="shared" si="128"/>
        <v>242</v>
      </c>
      <c r="O58" s="84">
        <f t="shared" si="128"/>
        <v>187.99999999999989</v>
      </c>
      <c r="P58" s="84">
        <f t="shared" si="128"/>
        <v>23</v>
      </c>
      <c r="Q58" s="84">
        <f t="shared" si="128"/>
        <v>539</v>
      </c>
      <c r="R58" s="84">
        <f t="shared" si="128"/>
        <v>77</v>
      </c>
      <c r="S58" s="84">
        <f t="shared" si="128"/>
        <v>149.99999999999977</v>
      </c>
      <c r="T58" s="84">
        <f t="shared" si="128"/>
        <v>63</v>
      </c>
      <c r="U58" s="84">
        <f t="shared" si="128"/>
        <v>10.000000000000114</v>
      </c>
      <c r="V58" s="84">
        <f t="shared" si="128"/>
        <v>30</v>
      </c>
      <c r="W58" s="84">
        <f t="shared" si="128"/>
        <v>16</v>
      </c>
      <c r="X58" s="84">
        <f t="shared" si="128"/>
        <v>13</v>
      </c>
      <c r="Y58" s="84">
        <f t="shared" si="128"/>
        <v>160</v>
      </c>
      <c r="Z58" s="84">
        <f t="shared" si="128"/>
        <v>223</v>
      </c>
      <c r="AA58" s="84">
        <f t="shared" si="128"/>
        <v>352</v>
      </c>
      <c r="AB58" s="84">
        <f t="shared" si="128"/>
        <v>228</v>
      </c>
      <c r="AC58" s="84">
        <f t="shared" si="128"/>
        <v>0</v>
      </c>
      <c r="AD58" s="84">
        <f t="shared" si="128"/>
        <v>144</v>
      </c>
      <c r="AE58" s="84">
        <f t="shared" si="128"/>
        <v>14</v>
      </c>
      <c r="AF58" s="84">
        <f t="shared" si="128"/>
        <v>187</v>
      </c>
      <c r="AG58" s="84">
        <f t="shared" si="128"/>
        <v>33.000000000000227</v>
      </c>
      <c r="AH58" s="84">
        <f t="shared" si="128"/>
        <v>208</v>
      </c>
      <c r="AI58" s="84">
        <f t="shared" si="128"/>
        <v>288</v>
      </c>
      <c r="AJ58" s="84">
        <f t="shared" si="128"/>
        <v>3</v>
      </c>
      <c r="AK58" s="84">
        <f t="shared" si="128"/>
        <v>1139.9999999999998</v>
      </c>
      <c r="AL58" s="84">
        <f t="shared" si="128"/>
        <v>1034.9999999999998</v>
      </c>
      <c r="AM58" s="84">
        <f t="shared" si="128"/>
        <v>1191</v>
      </c>
      <c r="AN58" s="84">
        <f t="shared" si="128"/>
        <v>957.00000000000023</v>
      </c>
      <c r="AO58" s="84">
        <f t="shared" si="128"/>
        <v>757</v>
      </c>
      <c r="AP58" s="84">
        <f t="shared" si="128"/>
        <v>592</v>
      </c>
      <c r="AQ58" s="84">
        <f t="shared" si="128"/>
        <v>702</v>
      </c>
      <c r="AR58" s="84">
        <f t="shared" si="128"/>
        <v>185</v>
      </c>
      <c r="AS58" s="84">
        <f t="shared" si="128"/>
        <v>398</v>
      </c>
      <c r="AT58" s="84">
        <f t="shared" si="128"/>
        <v>148</v>
      </c>
      <c r="AU58" s="84">
        <f t="shared" si="128"/>
        <v>476</v>
      </c>
      <c r="AV58" s="84">
        <f t="shared" si="128"/>
        <v>135</v>
      </c>
      <c r="AW58" s="84">
        <f t="shared" si="128"/>
        <v>240.00000000000023</v>
      </c>
      <c r="AX58" s="84">
        <f t="shared" si="128"/>
        <v>379.00000000000023</v>
      </c>
      <c r="AY58" s="229">
        <f t="shared" si="128"/>
        <v>181.99999999999955</v>
      </c>
      <c r="AZ58" s="229">
        <f t="shared" si="128"/>
        <v>244</v>
      </c>
      <c r="BA58" s="229">
        <f t="shared" si="128"/>
        <v>93</v>
      </c>
      <c r="BB58" s="229">
        <f t="shared" si="128"/>
        <v>875</v>
      </c>
      <c r="BC58" s="229">
        <f t="shared" si="128"/>
        <v>756</v>
      </c>
      <c r="BD58" s="229">
        <f t="shared" si="128"/>
        <v>179</v>
      </c>
      <c r="BE58" s="230">
        <f t="shared" ref="BE58" si="129">ABS(BE57)</f>
        <v>207</v>
      </c>
    </row>
    <row r="59" spans="1:57" ht="16" thickBot="1" x14ac:dyDescent="0.25">
      <c r="A59" s="89" t="s">
        <v>36</v>
      </c>
      <c r="B59" s="76"/>
      <c r="C59" s="76"/>
      <c r="D59" s="76"/>
      <c r="E59" s="76"/>
      <c r="F59" s="76"/>
      <c r="G59" s="76"/>
      <c r="H59" s="76"/>
      <c r="I59" s="85">
        <f>I57^2</f>
        <v>93636</v>
      </c>
      <c r="J59" s="85">
        <f t="shared" ref="J59:BD59" si="130">J57^2</f>
        <v>49</v>
      </c>
      <c r="K59" s="85">
        <f t="shared" si="130"/>
        <v>12100</v>
      </c>
      <c r="L59" s="85">
        <f t="shared" si="130"/>
        <v>66564.000000000116</v>
      </c>
      <c r="M59" s="85">
        <f t="shared" si="130"/>
        <v>36100</v>
      </c>
      <c r="N59" s="85">
        <f t="shared" si="130"/>
        <v>58564</v>
      </c>
      <c r="O59" s="85">
        <f t="shared" si="130"/>
        <v>35343.999999999956</v>
      </c>
      <c r="P59" s="85">
        <f t="shared" si="130"/>
        <v>529</v>
      </c>
      <c r="Q59" s="85">
        <f t="shared" si="130"/>
        <v>290521</v>
      </c>
      <c r="R59" s="85">
        <f t="shared" si="130"/>
        <v>5929</v>
      </c>
      <c r="S59" s="85">
        <f t="shared" si="130"/>
        <v>22499.999999999931</v>
      </c>
      <c r="T59" s="85">
        <f t="shared" si="130"/>
        <v>3969</v>
      </c>
      <c r="U59" s="85">
        <f t="shared" si="130"/>
        <v>100.00000000000227</v>
      </c>
      <c r="V59" s="85">
        <f t="shared" si="130"/>
        <v>900</v>
      </c>
      <c r="W59" s="85">
        <f t="shared" si="130"/>
        <v>256</v>
      </c>
      <c r="X59" s="85">
        <f t="shared" si="130"/>
        <v>169</v>
      </c>
      <c r="Y59" s="85">
        <f t="shared" si="130"/>
        <v>25600</v>
      </c>
      <c r="Z59" s="85">
        <f t="shared" si="130"/>
        <v>49729</v>
      </c>
      <c r="AA59" s="85">
        <f t="shared" si="130"/>
        <v>123904</v>
      </c>
      <c r="AB59" s="85">
        <f t="shared" si="130"/>
        <v>51984</v>
      </c>
      <c r="AC59" s="85">
        <f t="shared" si="130"/>
        <v>0</v>
      </c>
      <c r="AD59" s="85">
        <f t="shared" si="130"/>
        <v>20736</v>
      </c>
      <c r="AE59" s="85">
        <f t="shared" si="130"/>
        <v>196</v>
      </c>
      <c r="AF59" s="85">
        <f t="shared" si="130"/>
        <v>34969</v>
      </c>
      <c r="AG59" s="85">
        <f t="shared" si="130"/>
        <v>1089.000000000015</v>
      </c>
      <c r="AH59" s="85">
        <f t="shared" si="130"/>
        <v>43264</v>
      </c>
      <c r="AI59" s="85">
        <f t="shared" si="130"/>
        <v>82944</v>
      </c>
      <c r="AJ59" s="85">
        <f t="shared" si="130"/>
        <v>9</v>
      </c>
      <c r="AK59" s="85">
        <f t="shared" si="130"/>
        <v>1299599.9999999995</v>
      </c>
      <c r="AL59" s="85">
        <f t="shared" si="130"/>
        <v>1071224.9999999995</v>
      </c>
      <c r="AM59" s="85">
        <f t="shared" si="130"/>
        <v>1418481</v>
      </c>
      <c r="AN59" s="85">
        <f t="shared" si="130"/>
        <v>915849.00000000047</v>
      </c>
      <c r="AO59" s="85">
        <f t="shared" si="130"/>
        <v>573049</v>
      </c>
      <c r="AP59" s="85">
        <f t="shared" si="130"/>
        <v>350464</v>
      </c>
      <c r="AQ59" s="85">
        <f t="shared" si="130"/>
        <v>492804</v>
      </c>
      <c r="AR59" s="85">
        <f t="shared" si="130"/>
        <v>34225</v>
      </c>
      <c r="AS59" s="85">
        <f t="shared" si="130"/>
        <v>158404</v>
      </c>
      <c r="AT59" s="85">
        <f t="shared" si="130"/>
        <v>21904</v>
      </c>
      <c r="AU59" s="85">
        <f t="shared" si="130"/>
        <v>226576</v>
      </c>
      <c r="AV59" s="85">
        <f t="shared" si="130"/>
        <v>18225</v>
      </c>
      <c r="AW59" s="85">
        <f t="shared" si="130"/>
        <v>57600.000000000109</v>
      </c>
      <c r="AX59" s="85">
        <f t="shared" si="130"/>
        <v>143641.00000000017</v>
      </c>
      <c r="AY59" s="86">
        <f t="shared" si="130"/>
        <v>33123.999999999833</v>
      </c>
      <c r="AZ59" s="86">
        <f t="shared" si="130"/>
        <v>59536</v>
      </c>
      <c r="BA59" s="86">
        <f t="shared" si="130"/>
        <v>8649</v>
      </c>
      <c r="BB59" s="86">
        <f t="shared" si="130"/>
        <v>765625</v>
      </c>
      <c r="BC59" s="86">
        <f t="shared" si="130"/>
        <v>571536</v>
      </c>
      <c r="BD59" s="86">
        <f t="shared" si="130"/>
        <v>32041</v>
      </c>
      <c r="BE59" s="231">
        <f t="shared" ref="BE59" si="131">BE57^2</f>
        <v>42849</v>
      </c>
    </row>
    <row r="60" spans="1:57" ht="16" thickBot="1" x14ac:dyDescent="0.25">
      <c r="A60" s="5"/>
    </row>
    <row r="61" spans="1:57" x14ac:dyDescent="0.2">
      <c r="A61" s="87" t="s">
        <v>37</v>
      </c>
      <c r="B61" s="79"/>
      <c r="C61" s="79"/>
      <c r="D61" s="79"/>
      <c r="E61" s="79"/>
      <c r="F61" s="79"/>
      <c r="G61" s="79"/>
      <c r="H61" s="79"/>
      <c r="I61" s="82">
        <f>SUM($I$57:I57)/COUNT($I$57:I57)</f>
        <v>306</v>
      </c>
      <c r="J61" s="82">
        <f>SUM($I$57:J57)/COUNT($I$57:J57)</f>
        <v>156.5</v>
      </c>
      <c r="K61" s="82">
        <f>SUM($I$57:K57)/COUNT($I$57:K57)</f>
        <v>141</v>
      </c>
      <c r="L61" s="82">
        <f>SUM($I$57:L57)/COUNT($I$57:L57)</f>
        <v>170.25000000000006</v>
      </c>
      <c r="M61" s="82">
        <f>SUM($I$57:M57)/COUNT($I$57:M57)</f>
        <v>98.200000000000045</v>
      </c>
      <c r="N61" s="82">
        <f>SUM($I$57:N57)/COUNT($I$57:N57)</f>
        <v>41.500000000000036</v>
      </c>
      <c r="O61" s="82">
        <f>SUM($I$57:O57)/COUNT($I$57:O57)</f>
        <v>62.428571428571445</v>
      </c>
      <c r="P61" s="82">
        <f>SUM($I$57:P57)/COUNT($I$57:P57)</f>
        <v>57.500000000000014</v>
      </c>
      <c r="Q61" s="82">
        <f>SUM($I$57:Q57)/COUNT($I$57:Q57)</f>
        <v>-8.7777777777777644</v>
      </c>
      <c r="R61" s="82">
        <f>SUM($I$57:R57)/COUNT($I$57:R57)</f>
        <v>-15.599999999999989</v>
      </c>
      <c r="S61" s="82">
        <f>SUM($I$57:S57)/COUNT($I$57:S57)</f>
        <v>-0.54545454545455574</v>
      </c>
      <c r="T61" s="82">
        <f>SUM($I$57:T57)/COUNT($I$57:T57)</f>
        <v>4.7499999999999902</v>
      </c>
      <c r="U61" s="82">
        <f>SUM($I$57:U57)/COUNT($I$57:U57)</f>
        <v>5.1538461538461542</v>
      </c>
      <c r="V61" s="82">
        <f>SUM($I$57:V57)/COUNT($I$57:V57)</f>
        <v>6.9285714285714288</v>
      </c>
      <c r="W61" s="82">
        <f>SUM($I$57:W57)/COUNT($I$57:W57)</f>
        <v>7.5333333333333332</v>
      </c>
      <c r="X61" s="82">
        <f>SUM($I$57:X57)/COUNT($I$57:X57)</f>
        <v>7.875</v>
      </c>
      <c r="Y61" s="82">
        <f>SUM($I$57:Y57)/COUNT($I$57:Y57)</f>
        <v>16.823529411764707</v>
      </c>
      <c r="Z61" s="82">
        <f>SUM($I$57:Z57)/COUNT($I$57:Z57)</f>
        <v>3.5</v>
      </c>
      <c r="AA61" s="82">
        <f>SUM($I$57:AA57)/COUNT($I$57:AA57)</f>
        <v>21.842105263157894</v>
      </c>
      <c r="AB61" s="82">
        <f>SUM($I$57:AB57)/COUNT($I$57:AB57)</f>
        <v>32.15</v>
      </c>
      <c r="AC61" s="82">
        <f>SUM($I$57:AC57)/COUNT($I$57:AC57)</f>
        <v>30.61904761904762</v>
      </c>
      <c r="AD61" s="82">
        <f>SUM($I$57:AD57)/COUNT($I$57:AD57)</f>
        <v>22.681818181818183</v>
      </c>
      <c r="AE61" s="82">
        <f>SUM($I$57:AE57)/COUNT($I$57:AE57)</f>
        <v>21.086956521739129</v>
      </c>
      <c r="AF61" s="82">
        <f>SUM($I$57:AF57)/COUNT($I$57:AF57)</f>
        <v>12.416666666666666</v>
      </c>
      <c r="AG61" s="82">
        <f>SUM($I$57:AG57)/COUNT($I$57:AG57)</f>
        <v>10.599999999999991</v>
      </c>
      <c r="AH61" s="82">
        <f>SUM($I$57:AH57)/COUNT($I$57:AH57)</f>
        <v>2.1923076923076836</v>
      </c>
      <c r="AI61" s="82">
        <f>SUM($I$57:AI57)/COUNT($I$57:AI57)</f>
        <v>-8.5555555555555642</v>
      </c>
      <c r="AJ61" s="82">
        <f>SUM($I$57:AJ57)/COUNT($I$57:AJ57)</f>
        <v>-8.1428571428571512</v>
      </c>
      <c r="AK61" s="82">
        <f>SUM($I$57:AK57)/COUNT($I$57:AK57)</f>
        <v>31.44827586206895</v>
      </c>
      <c r="AL61" s="82">
        <f>SUM($I$57:AL57)/COUNT($I$57:AL57)</f>
        <v>64.899999999999977</v>
      </c>
      <c r="AM61" s="82">
        <f>SUM($I$57:AM57)/COUNT($I$57:AM57)</f>
        <v>101.22580645161287</v>
      </c>
      <c r="AN61" s="82">
        <f>SUM($I$57:AN57)/COUNT($I$57:AN57)</f>
        <v>127.96874999999997</v>
      </c>
      <c r="AO61" s="82">
        <f>SUM($I$57:AO57)/COUNT($I$57:AO57)</f>
        <v>147.030303030303</v>
      </c>
      <c r="AP61" s="82">
        <f>SUM($I$57:AP57)/COUNT($I$57:AP57)</f>
        <v>160.11764705882351</v>
      </c>
      <c r="AQ61" s="82">
        <f>SUM($I$57:AQ57)/COUNT($I$57:AQ57)</f>
        <v>175.59999999999997</v>
      </c>
      <c r="AR61" s="82">
        <f>SUM($I$57:AR57)/COUNT($I$57:AR57)</f>
        <v>175.86111111111109</v>
      </c>
      <c r="AS61" s="82">
        <f>SUM($I$57:AS57)/COUNT($I$57:AS57)</f>
        <v>160.35135135135133</v>
      </c>
      <c r="AT61" s="82">
        <f>SUM($I$57:AT57)/COUNT($I$57:AT57)</f>
        <v>152.23684210526312</v>
      </c>
      <c r="AU61" s="82">
        <f>SUM($I$57:AU57)/COUNT($I$57:AU57)</f>
        <v>160.53846153846152</v>
      </c>
      <c r="AV61" s="82">
        <f>SUM($I$57:AV57)/COUNT($I$57:AV57)</f>
        <v>153.14999999999998</v>
      </c>
      <c r="AW61" s="82">
        <f>SUM($I$57:AW57)/COUNT($I$57:AW57)</f>
        <v>155.26829268292681</v>
      </c>
      <c r="AX61" s="82">
        <f>SUM($I$57:AX57)/COUNT($I$57:AX57)</f>
        <v>142.54761904761904</v>
      </c>
      <c r="AY61" s="83">
        <f>SUM($AY$57:AY57)/COUNT($AY$57:AY57)</f>
        <v>-181.99999999999955</v>
      </c>
      <c r="AZ61" s="83">
        <f>SUM($AY$57:AZ57)/COUNT($AY$57:AZ57)</f>
        <v>31.000000000000227</v>
      </c>
      <c r="BA61" s="83">
        <f>SUM($AY$57:BA57)/COUNT($AY$57:BA57)</f>
        <v>51.666666666666821</v>
      </c>
      <c r="BB61" s="83">
        <f>SUM($AY$57:BB57)/COUNT($AY$57:BB57)</f>
        <v>-179.99999999999989</v>
      </c>
      <c r="BC61" s="83">
        <f>SUM($AY$57:BC57)/COUNT($AY$57:BC57)</f>
        <v>7.2000000000000908</v>
      </c>
      <c r="BD61" s="83">
        <f>SUM($AY$57:BD57)/COUNT($AY$57:BD57)</f>
        <v>-23.833333333333258</v>
      </c>
      <c r="BE61" s="228">
        <f>SUM($AY$57:BE57)/COUNT($AY$57:BE57)</f>
        <v>9.1428571428572081</v>
      </c>
    </row>
    <row r="62" spans="1:57" x14ac:dyDescent="0.2">
      <c r="A62" s="88" t="s">
        <v>38</v>
      </c>
      <c r="B62" s="73"/>
      <c r="C62" s="73"/>
      <c r="D62" s="73"/>
      <c r="E62" s="73"/>
      <c r="F62" s="73"/>
      <c r="G62" s="73"/>
      <c r="H62" s="73"/>
      <c r="I62" s="84">
        <f>SUM($I$58:I58)/COUNT($I$58:I58)</f>
        <v>306</v>
      </c>
      <c r="J62" s="84">
        <f>SUM($I$58:J58)/COUNT($I$58:J58)</f>
        <v>156.5</v>
      </c>
      <c r="K62" s="84">
        <f>SUM($I$58:K58)/COUNT($I$58:K58)</f>
        <v>141</v>
      </c>
      <c r="L62" s="84">
        <f>SUM($I$58:L58)/COUNT($I$58:L58)</f>
        <v>170.25000000000006</v>
      </c>
      <c r="M62" s="84">
        <f>SUM($I$58:M58)/COUNT($I$58:M58)</f>
        <v>174.20000000000005</v>
      </c>
      <c r="N62" s="84">
        <f>SUM($I$58:N58)/COUNT($I$58:N58)</f>
        <v>185.50000000000003</v>
      </c>
      <c r="O62" s="84">
        <f>SUM($I$58:O58)/COUNT($I$58:O58)</f>
        <v>185.85714285714286</v>
      </c>
      <c r="P62" s="84">
        <f>SUM($I$58:P58)/COUNT($I$58:P58)</f>
        <v>165.5</v>
      </c>
      <c r="Q62" s="84">
        <f>SUM($I$58:Q58)/COUNT($I$58:Q58)</f>
        <v>207</v>
      </c>
      <c r="R62" s="84">
        <f>SUM($I$58:R58)/COUNT($I$58:R58)</f>
        <v>194</v>
      </c>
      <c r="S62" s="84">
        <f>SUM($I$58:S58)/COUNT($I$58:S58)</f>
        <v>190</v>
      </c>
      <c r="T62" s="84">
        <f>SUM($I$58:T58)/COUNT($I$58:T58)</f>
        <v>179.41666666666666</v>
      </c>
      <c r="U62" s="84">
        <f>SUM($I$58:U58)/COUNT($I$58:U58)</f>
        <v>166.38461538461539</v>
      </c>
      <c r="V62" s="84">
        <f>SUM($I$58:V58)/COUNT($I$58:V58)</f>
        <v>156.64285714285714</v>
      </c>
      <c r="W62" s="84">
        <f>SUM($I$58:W58)/COUNT($I$58:W58)</f>
        <v>147.26666666666668</v>
      </c>
      <c r="X62" s="84">
        <f>SUM($I$58:X58)/COUNT($I$58:X58)</f>
        <v>138.875</v>
      </c>
      <c r="Y62" s="84">
        <f>SUM($I$58:Y58)/COUNT($I$58:Y58)</f>
        <v>140.11764705882354</v>
      </c>
      <c r="Z62" s="84">
        <f>SUM($I$58:Z58)/COUNT($I$58:Z58)</f>
        <v>144.72222222222223</v>
      </c>
      <c r="AA62" s="84">
        <f>SUM($I$58:AA58)/COUNT($I$58:AA58)</f>
        <v>155.63157894736841</v>
      </c>
      <c r="AB62" s="84">
        <f>SUM($I$58:AB58)/COUNT($I$58:AB58)</f>
        <v>159.25</v>
      </c>
      <c r="AC62" s="84">
        <f>SUM($I$58:AC58)/COUNT($I$58:AC58)</f>
        <v>151.66666666666666</v>
      </c>
      <c r="AD62" s="84">
        <f>SUM($I$58:AD58)/COUNT($I$58:AD58)</f>
        <v>151.31818181818181</v>
      </c>
      <c r="AE62" s="84">
        <f>SUM($I$58:AE58)/COUNT($I$58:AE58)</f>
        <v>145.34782608695653</v>
      </c>
      <c r="AF62" s="84">
        <f>SUM($I$58:AF58)/COUNT($I$58:AF58)</f>
        <v>147.08333333333334</v>
      </c>
      <c r="AG62" s="84">
        <f>SUM($I$58:AG58)/COUNT($I$58:AG58)</f>
        <v>142.52000000000001</v>
      </c>
      <c r="AH62" s="84">
        <f>SUM($I$58:AH58)/COUNT($I$58:AH58)</f>
        <v>145.03846153846155</v>
      </c>
      <c r="AI62" s="84">
        <f>SUM($I$58:AI58)/COUNT($I$58:AI58)</f>
        <v>150.33333333333334</v>
      </c>
      <c r="AJ62" s="84">
        <f>SUM($I$58:AJ58)/COUNT($I$58:AJ58)</f>
        <v>145.07142857142858</v>
      </c>
      <c r="AK62" s="84">
        <f>SUM($I$58:AK58)/COUNT($I$58:AK58)</f>
        <v>179.37931034482759</v>
      </c>
      <c r="AL62" s="84">
        <f>SUM($I$58:AL58)/COUNT($I$58:AL58)</f>
        <v>207.9</v>
      </c>
      <c r="AM62" s="84">
        <f>SUM($I$58:AM58)/COUNT($I$58:AM58)</f>
        <v>239.61290322580646</v>
      </c>
      <c r="AN62" s="84">
        <f>SUM($I$58:AN58)/COUNT($I$58:AN58)</f>
        <v>262.03125</v>
      </c>
      <c r="AO62" s="84">
        <f>SUM($I$58:AO58)/COUNT($I$58:AO58)</f>
        <v>277.030303030303</v>
      </c>
      <c r="AP62" s="84">
        <f>SUM($I$58:AP58)/COUNT($I$58:AP58)</f>
        <v>286.29411764705884</v>
      </c>
      <c r="AQ62" s="84">
        <f>SUM($I$58:AQ58)/COUNT($I$58:AQ58)</f>
        <v>298.17142857142858</v>
      </c>
      <c r="AR62" s="84">
        <f>SUM($I$58:AR58)/COUNT($I$58:AR58)</f>
        <v>295.02777777777777</v>
      </c>
      <c r="AS62" s="84">
        <f>SUM($I$58:AS58)/COUNT($I$58:AS58)</f>
        <v>297.81081081081084</v>
      </c>
      <c r="AT62" s="84">
        <f>SUM($I$58:AT58)/COUNT($I$58:AT58)</f>
        <v>293.86842105263156</v>
      </c>
      <c r="AU62" s="84">
        <f>SUM($I$58:AU58)/COUNT($I$58:AU58)</f>
        <v>298.53846153846155</v>
      </c>
      <c r="AV62" s="84">
        <f>SUM($I$58:AV58)/COUNT($I$58:AV58)</f>
        <v>294.45</v>
      </c>
      <c r="AW62" s="84">
        <f>SUM($I$58:AW58)/COUNT($I$58:AW58)</f>
        <v>293.1219512195122</v>
      </c>
      <c r="AX62" s="84">
        <f>SUM($I$58:AX58)/COUNT($I$58:AX58)</f>
        <v>295.16666666666669</v>
      </c>
      <c r="AY62" s="229">
        <f>SUM($AY$58:AY58)/COUNT($AY$58:AY58)</f>
        <v>181.99999999999955</v>
      </c>
      <c r="AZ62" s="229">
        <f>SUM($AY$58:AZ58)/COUNT($AY$58:AZ58)</f>
        <v>212.99999999999977</v>
      </c>
      <c r="BA62" s="229">
        <f>SUM($AY$58:BA58)/COUNT($AY$58:BA58)</f>
        <v>172.99999999999986</v>
      </c>
      <c r="BB62" s="229">
        <f>SUM($AY$58:BB58)/COUNT($AY$58:BB58)</f>
        <v>348.49999999999989</v>
      </c>
      <c r="BC62" s="229">
        <f>SUM($AY$58:BC58)/COUNT($AY$58:BC58)</f>
        <v>429.99999999999989</v>
      </c>
      <c r="BD62" s="229">
        <f>SUM($AY$58:BD58)/COUNT($AY$58:BD58)</f>
        <v>388.16666666666657</v>
      </c>
      <c r="BE62" s="230">
        <f>SUM($AY$58:BE58)/COUNT($AY$58:BE58)</f>
        <v>362.28571428571422</v>
      </c>
    </row>
    <row r="63" spans="1:57" x14ac:dyDescent="0.2">
      <c r="A63" s="88" t="s">
        <v>39</v>
      </c>
      <c r="B63" s="73"/>
      <c r="C63" s="73"/>
      <c r="D63" s="73"/>
      <c r="E63" s="73"/>
      <c r="F63" s="73"/>
      <c r="G63" s="73"/>
      <c r="H63" s="73"/>
      <c r="I63" s="84">
        <f>SUM($I$59:I59)/COUNT($I$59:I59)</f>
        <v>93636</v>
      </c>
      <c r="J63" s="84">
        <f>SUM($I$59:J59)/COUNT($I$59:J59)</f>
        <v>46842.5</v>
      </c>
      <c r="K63" s="84">
        <f>SUM($I$59:K59)/COUNT($I$59:K59)</f>
        <v>35261.666666666664</v>
      </c>
      <c r="L63" s="84">
        <f>SUM($I$59:L59)/COUNT($I$59:L59)</f>
        <v>43087.250000000029</v>
      </c>
      <c r="M63" s="84">
        <f>SUM($I$59:M59)/COUNT($I$59:M59)</f>
        <v>41689.800000000025</v>
      </c>
      <c r="N63" s="84">
        <f>SUM($I$59:N59)/COUNT($I$59:N59)</f>
        <v>44502.166666666686</v>
      </c>
      <c r="O63" s="84">
        <f>SUM($I$59:O59)/COUNT($I$59:O59)</f>
        <v>43193.857142857152</v>
      </c>
      <c r="P63" s="84">
        <f>SUM($I$59:P59)/COUNT($I$59:P59)</f>
        <v>37860.750000000007</v>
      </c>
      <c r="Q63" s="84">
        <f>SUM($I$59:Q59)/COUNT($I$59:Q59)</f>
        <v>65934.111111111109</v>
      </c>
      <c r="R63" s="84">
        <f>SUM($I$59:R59)/COUNT($I$59:R59)</f>
        <v>59933.599999999999</v>
      </c>
      <c r="S63" s="84">
        <f>SUM($I$59:S59)/COUNT($I$59:S59)</f>
        <v>56530.545454545441</v>
      </c>
      <c r="T63" s="84">
        <f>SUM($I$59:T59)/COUNT($I$59:T59)</f>
        <v>52150.416666666657</v>
      </c>
      <c r="U63" s="84">
        <f>SUM($I$59:U59)/COUNT($I$59:U59)</f>
        <v>48146.538461538454</v>
      </c>
      <c r="V63" s="84">
        <f>SUM($I$59:V59)/COUNT($I$59:V59)</f>
        <v>44771.785714285703</v>
      </c>
      <c r="W63" s="84">
        <f>SUM($I$59:W59)/COUNT($I$59:W59)</f>
        <v>41804.066666666658</v>
      </c>
      <c r="X63" s="84">
        <f>SUM($I$59:X59)/COUNT($I$59:X59)</f>
        <v>39201.874999999993</v>
      </c>
      <c r="Y63" s="84">
        <f>SUM($I$59:Y59)/COUNT($I$59:Y59)</f>
        <v>38401.76470588235</v>
      </c>
      <c r="Z63" s="84">
        <f>SUM($I$59:Z59)/COUNT($I$59:Z59)</f>
        <v>39031.055555555547</v>
      </c>
      <c r="AA63" s="84">
        <f>SUM($I$59:AA59)/COUNT($I$59:AA59)</f>
        <v>43498.052631578939</v>
      </c>
      <c r="AB63" s="84">
        <f>SUM($I$59:AB59)/COUNT($I$59:AB59)</f>
        <v>43922.349999999991</v>
      </c>
      <c r="AC63" s="84">
        <f>SUM($I$59:AC59)/COUNT($I$59:AC59)</f>
        <v>41830.809523809519</v>
      </c>
      <c r="AD63" s="84">
        <f>SUM($I$59:AD59)/COUNT($I$59:AD59)</f>
        <v>40871.954545454537</v>
      </c>
      <c r="AE63" s="84">
        <f>SUM($I$59:AE59)/COUNT($I$59:AE59)</f>
        <v>39103.434782608689</v>
      </c>
      <c r="AF63" s="84">
        <f>SUM($I$59:AF59)/COUNT($I$59:AF59)</f>
        <v>38931.166666666664</v>
      </c>
      <c r="AG63" s="84">
        <f>SUM($I$59:AG59)/COUNT($I$59:AG59)</f>
        <v>37417.479999999996</v>
      </c>
      <c r="AH63" s="84">
        <f>SUM($I$59:AH59)/COUNT($I$59:AH59)</f>
        <v>37642.346153846149</v>
      </c>
      <c r="AI63" s="84">
        <f>SUM($I$59:AI59)/COUNT($I$59:AI59)</f>
        <v>39320.185185185182</v>
      </c>
      <c r="AJ63" s="84">
        <f>SUM($I$59:AJ59)/COUNT($I$59:AJ59)</f>
        <v>37916.214285714283</v>
      </c>
      <c r="AK63" s="84">
        <f>SUM($I$59:AK59)/COUNT($I$59:AK59)</f>
        <v>81422.551724137913</v>
      </c>
      <c r="AL63" s="84">
        <f>SUM($I$59:AL59)/COUNT($I$59:AL59)</f>
        <v>114415.96666666663</v>
      </c>
      <c r="AM63" s="84">
        <f>SUM($I$59:AM59)/COUNT($I$59:AM59)</f>
        <v>156482.58064516127</v>
      </c>
      <c r="AN63" s="84">
        <f>SUM($I$59:AN59)/COUNT($I$59:AN59)</f>
        <v>180212.78125</v>
      </c>
      <c r="AO63" s="84">
        <f>SUM($I$59:AO59)/COUNT($I$59:AO59)</f>
        <v>192116.90909090909</v>
      </c>
      <c r="AP63" s="84">
        <f>SUM($I$59:AP59)/COUNT($I$59:AP59)</f>
        <v>196774.17647058822</v>
      </c>
      <c r="AQ63" s="84">
        <f>SUM($I$59:AQ59)/COUNT($I$59:AQ59)</f>
        <v>205232.17142857143</v>
      </c>
      <c r="AR63" s="84">
        <f>SUM($I$59:AR59)/COUNT($I$59:AR59)</f>
        <v>200481.97222222222</v>
      </c>
      <c r="AS63" s="84">
        <f>SUM($I$59:AS59)/COUNT($I$59:AS59)</f>
        <v>199344.72972972973</v>
      </c>
      <c r="AT63" s="84">
        <f>SUM($I$59:AT59)/COUNT($I$59:AT59)</f>
        <v>194675.23684210525</v>
      </c>
      <c r="AU63" s="84">
        <f>SUM($I$59:AU59)/COUNT($I$59:AU59)</f>
        <v>195493.20512820513</v>
      </c>
      <c r="AV63" s="84">
        <f>SUM($I$59:AV59)/COUNT($I$59:AV59)</f>
        <v>191061.5</v>
      </c>
      <c r="AW63" s="84">
        <f>SUM($I$59:AW59)/COUNT($I$59:AW59)</f>
        <v>187806.34146341463</v>
      </c>
      <c r="AX63" s="84">
        <f>SUM($I$59:AX59)/COUNT($I$59:AX59)</f>
        <v>186754.78571428571</v>
      </c>
      <c r="AY63" s="229">
        <f>SUM($AY$59:AY59)/COUNT($AY$59:AY59)</f>
        <v>33123.999999999833</v>
      </c>
      <c r="AZ63" s="229">
        <f>SUM($AY$59:AZ59)/COUNT($AY$59:AZ59)</f>
        <v>46329.999999999913</v>
      </c>
      <c r="BA63" s="229">
        <f>SUM($AY$59:BA59)/COUNT($AY$59:BA59)</f>
        <v>33769.666666666606</v>
      </c>
      <c r="BB63" s="229">
        <f>SUM($AY$59:BB59)/COUNT($AY$59:BB59)</f>
        <v>216733.49999999994</v>
      </c>
      <c r="BC63" s="229">
        <f>SUM($AY$59:BC59)/COUNT($AY$59:BC59)</f>
        <v>287693.99999999994</v>
      </c>
      <c r="BD63" s="229">
        <f>SUM($AY$59:BD59)/COUNT($AY$59:BD59)</f>
        <v>245085.16666666663</v>
      </c>
      <c r="BE63" s="230">
        <f>SUM($AY$59:BE59)/COUNT($AY$59:BE59)</f>
        <v>216194.28571428568</v>
      </c>
    </row>
    <row r="64" spans="1:57" ht="16" thickBot="1" x14ac:dyDescent="0.25">
      <c r="A64" s="89" t="s">
        <v>40</v>
      </c>
      <c r="B64" s="76"/>
      <c r="C64" s="76"/>
      <c r="D64" s="76"/>
      <c r="E64" s="76"/>
      <c r="F64" s="76"/>
      <c r="G64" s="76"/>
      <c r="H64" s="76"/>
      <c r="I64" s="85">
        <f>SQRT(I63)</f>
        <v>306</v>
      </c>
      <c r="J64" s="85">
        <f t="shared" ref="J64:BD64" si="132">SQRT(J63)</f>
        <v>216.431282396977</v>
      </c>
      <c r="K64" s="85">
        <f t="shared" si="132"/>
        <v>187.78090069723987</v>
      </c>
      <c r="L64" s="85">
        <f t="shared" si="132"/>
        <v>207.57468535445267</v>
      </c>
      <c r="M64" s="85">
        <f t="shared" si="132"/>
        <v>204.18080223174761</v>
      </c>
      <c r="N64" s="85">
        <f t="shared" si="132"/>
        <v>210.95536652729811</v>
      </c>
      <c r="O64" s="85">
        <f t="shared" si="132"/>
        <v>207.83131896530213</v>
      </c>
      <c r="P64" s="85">
        <f t="shared" si="132"/>
        <v>194.57839037262079</v>
      </c>
      <c r="Q64" s="85">
        <f t="shared" si="132"/>
        <v>256.77638347618949</v>
      </c>
      <c r="R64" s="85">
        <f t="shared" si="132"/>
        <v>244.8133983261537</v>
      </c>
      <c r="S64" s="85">
        <f t="shared" si="132"/>
        <v>237.76153064477325</v>
      </c>
      <c r="T64" s="85">
        <f t="shared" si="132"/>
        <v>228.36465721881453</v>
      </c>
      <c r="U64" s="85">
        <f t="shared" si="132"/>
        <v>219.42319490322453</v>
      </c>
      <c r="V64" s="85">
        <f t="shared" si="132"/>
        <v>211.59344440290607</v>
      </c>
      <c r="W64" s="85">
        <f t="shared" si="132"/>
        <v>204.46042811915135</v>
      </c>
      <c r="X64" s="85">
        <f t="shared" si="132"/>
        <v>197.99463376566547</v>
      </c>
      <c r="Y64" s="85">
        <f t="shared" si="132"/>
        <v>195.96368210942137</v>
      </c>
      <c r="Z64" s="85">
        <f t="shared" si="132"/>
        <v>197.56278889395023</v>
      </c>
      <c r="AA64" s="85">
        <f t="shared" si="132"/>
        <v>208.56186763543076</v>
      </c>
      <c r="AB64" s="85">
        <f t="shared" si="132"/>
        <v>209.57659697590279</v>
      </c>
      <c r="AC64" s="85">
        <f t="shared" si="132"/>
        <v>204.52581627708889</v>
      </c>
      <c r="AD64" s="85">
        <f t="shared" si="132"/>
        <v>202.16813434726686</v>
      </c>
      <c r="AE64" s="85">
        <f t="shared" si="132"/>
        <v>197.74588436326226</v>
      </c>
      <c r="AF64" s="85">
        <f t="shared" si="132"/>
        <v>197.30982405006262</v>
      </c>
      <c r="AG64" s="85">
        <f t="shared" si="132"/>
        <v>193.43598424284968</v>
      </c>
      <c r="AH64" s="85">
        <f t="shared" si="132"/>
        <v>194.01635537718502</v>
      </c>
      <c r="AI64" s="85">
        <f t="shared" si="132"/>
        <v>198.2931798756205</v>
      </c>
      <c r="AJ64" s="85">
        <f t="shared" si="132"/>
        <v>194.7208624819495</v>
      </c>
      <c r="AK64" s="85">
        <f t="shared" si="132"/>
        <v>285.34637149285413</v>
      </c>
      <c r="AL64" s="85">
        <f t="shared" si="132"/>
        <v>338.25429290205119</v>
      </c>
      <c r="AM64" s="85">
        <f t="shared" si="132"/>
        <v>395.57879195573827</v>
      </c>
      <c r="AN64" s="85">
        <f t="shared" si="132"/>
        <v>424.51475975518213</v>
      </c>
      <c r="AO64" s="85">
        <f t="shared" si="132"/>
        <v>438.31142934095283</v>
      </c>
      <c r="AP64" s="85">
        <f t="shared" si="132"/>
        <v>443.59235393612028</v>
      </c>
      <c r="AQ64" s="85">
        <f t="shared" si="132"/>
        <v>453.02557480629218</v>
      </c>
      <c r="AR64" s="85">
        <f t="shared" si="132"/>
        <v>447.75213257138398</v>
      </c>
      <c r="AS64" s="85">
        <f t="shared" si="132"/>
        <v>446.48038000535894</v>
      </c>
      <c r="AT64" s="85">
        <f t="shared" si="132"/>
        <v>441.2201682177564</v>
      </c>
      <c r="AU64" s="85">
        <f t="shared" si="132"/>
        <v>442.14613548939349</v>
      </c>
      <c r="AV64" s="85">
        <f t="shared" si="132"/>
        <v>437.1058224274758</v>
      </c>
      <c r="AW64" s="85">
        <f t="shared" si="132"/>
        <v>433.36629017889084</v>
      </c>
      <c r="AX64" s="85">
        <f t="shared" si="132"/>
        <v>432.15134584342752</v>
      </c>
      <c r="AY64" s="86">
        <f t="shared" si="132"/>
        <v>181.99999999999955</v>
      </c>
      <c r="AZ64" s="86">
        <f t="shared" si="132"/>
        <v>215.24404753674355</v>
      </c>
      <c r="BA64" s="86">
        <f t="shared" si="132"/>
        <v>183.76524880038284</v>
      </c>
      <c r="BB64" s="86">
        <f t="shared" si="132"/>
        <v>465.54645310645418</v>
      </c>
      <c r="BC64" s="86">
        <f t="shared" si="132"/>
        <v>536.37114016322687</v>
      </c>
      <c r="BD64" s="86">
        <f t="shared" si="132"/>
        <v>495.06077068039497</v>
      </c>
      <c r="BE64" s="231">
        <f t="shared" ref="BE64" si="133">SQRT(BE63)</f>
        <v>464.96697271342367</v>
      </c>
    </row>
    <row r="65" spans="1:57" ht="16" thickBot="1" x14ac:dyDescent="0.25">
      <c r="A65" s="5"/>
    </row>
    <row r="66" spans="1:57" x14ac:dyDescent="0.2">
      <c r="A66" s="87" t="s">
        <v>60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92"/>
      <c r="AZ66" s="92"/>
      <c r="BA66" s="92"/>
      <c r="BB66" s="92"/>
      <c r="BC66" s="92"/>
      <c r="BD66" s="92"/>
      <c r="BE66" s="80"/>
    </row>
    <row r="67" spans="1:57" x14ac:dyDescent="0.2">
      <c r="A67" s="88" t="s">
        <v>34</v>
      </c>
      <c r="B67" s="73"/>
      <c r="C67" s="73"/>
      <c r="D67" s="73"/>
      <c r="E67" s="73"/>
      <c r="F67" s="73"/>
      <c r="G67" s="73"/>
      <c r="H67" s="73"/>
      <c r="I67" s="84">
        <f>I2-I43</f>
        <v>306</v>
      </c>
      <c r="J67" s="84">
        <f t="shared" ref="J67:BD67" si="134">J2-J43</f>
        <v>7</v>
      </c>
      <c r="K67" s="84">
        <f t="shared" si="134"/>
        <v>110</v>
      </c>
      <c r="L67" s="84">
        <f t="shared" si="134"/>
        <v>258.00000000000023</v>
      </c>
      <c r="M67" s="84">
        <f t="shared" si="134"/>
        <v>-190</v>
      </c>
      <c r="N67" s="84">
        <f t="shared" si="134"/>
        <v>-242</v>
      </c>
      <c r="O67" s="84">
        <f t="shared" si="134"/>
        <v>187.99999999999989</v>
      </c>
      <c r="P67" s="84">
        <f t="shared" si="134"/>
        <v>144.80833333333339</v>
      </c>
      <c r="Q67" s="84">
        <f t="shared" si="134"/>
        <v>-581.00104166666642</v>
      </c>
      <c r="R67" s="84">
        <f t="shared" si="134"/>
        <v>-59.168750000000273</v>
      </c>
      <c r="S67" s="84">
        <f t="shared" si="134"/>
        <v>246.77916666666647</v>
      </c>
      <c r="T67" s="84">
        <f t="shared" si="134"/>
        <v>-62.776041666666742</v>
      </c>
      <c r="U67" s="84">
        <f t="shared" si="134"/>
        <v>-135.54166666666674</v>
      </c>
      <c r="V67" s="84">
        <f t="shared" si="134"/>
        <v>106.89999999999998</v>
      </c>
      <c r="W67" s="84">
        <f t="shared" si="134"/>
        <v>147.3020480574678</v>
      </c>
      <c r="X67" s="84">
        <f t="shared" si="134"/>
        <v>-327.96184258613857</v>
      </c>
      <c r="Y67" s="84">
        <f t="shared" si="134"/>
        <v>159.46429852458527</v>
      </c>
      <c r="Z67" s="84">
        <f t="shared" si="134"/>
        <v>-23.144080673423787</v>
      </c>
      <c r="AA67" s="84">
        <f t="shared" si="134"/>
        <v>339.59160198416157</v>
      </c>
      <c r="AB67" s="84">
        <f t="shared" si="134"/>
        <v>160.22342995169083</v>
      </c>
      <c r="AC67" s="84">
        <f t="shared" si="134"/>
        <v>90.524544741657337</v>
      </c>
      <c r="AD67" s="84">
        <f t="shared" si="134"/>
        <v>-98.741144779424758</v>
      </c>
      <c r="AE67" s="84">
        <f t="shared" si="134"/>
        <v>-337.47972121759813</v>
      </c>
      <c r="AF67" s="84">
        <f t="shared" si="134"/>
        <v>-137.68765827897573</v>
      </c>
      <c r="AG67" s="84">
        <f t="shared" si="134"/>
        <v>-117.87184348394635</v>
      </c>
      <c r="AH67" s="84">
        <f t="shared" si="134"/>
        <v>-6.2691465847428844</v>
      </c>
      <c r="AI67" s="84">
        <f t="shared" si="134"/>
        <v>-207.38800852166628</v>
      </c>
      <c r="AJ67" s="84">
        <f t="shared" si="134"/>
        <v>34.437522866354129</v>
      </c>
      <c r="AK67" s="84">
        <f t="shared" si="134"/>
        <v>1172.8804411637325</v>
      </c>
      <c r="AL67" s="84">
        <f t="shared" si="134"/>
        <v>890.47241319492082</v>
      </c>
      <c r="AM67" s="84">
        <f t="shared" si="134"/>
        <v>1201.4278037276531</v>
      </c>
      <c r="AN67" s="84">
        <f t="shared" si="134"/>
        <v>975.89580609443283</v>
      </c>
      <c r="AO67" s="84">
        <f t="shared" si="134"/>
        <v>846.11615079180069</v>
      </c>
      <c r="AP67" s="84">
        <f t="shared" si="134"/>
        <v>494.99949340845637</v>
      </c>
      <c r="AQ67" s="84">
        <f t="shared" si="134"/>
        <v>792.20789161900348</v>
      </c>
      <c r="AR67" s="84">
        <f t="shared" si="134"/>
        <v>305.55781090762594</v>
      </c>
      <c r="AS67" s="84">
        <f t="shared" si="134"/>
        <v>-594.53433737452906</v>
      </c>
      <c r="AT67" s="84">
        <f t="shared" si="134"/>
        <v>-67.24958110868738</v>
      </c>
      <c r="AU67" s="84">
        <f t="shared" si="134"/>
        <v>424.05981960930148</v>
      </c>
      <c r="AV67" s="84">
        <f t="shared" si="134"/>
        <v>-158.40715813387214</v>
      </c>
      <c r="AW67" s="84">
        <f t="shared" si="134"/>
        <v>139.11682187366887</v>
      </c>
      <c r="AX67" s="84">
        <f t="shared" si="134"/>
        <v>-207.54337577350839</v>
      </c>
      <c r="AY67" s="229">
        <f t="shared" si="134"/>
        <v>102.08260110343053</v>
      </c>
      <c r="AZ67" s="229">
        <f t="shared" si="134"/>
        <v>-241.8302852392867</v>
      </c>
      <c r="BA67" s="229">
        <f t="shared" si="134"/>
        <v>59.102029016760753</v>
      </c>
      <c r="BB67" s="229">
        <f t="shared" si="134"/>
        <v>-489.40373983038126</v>
      </c>
      <c r="BC67" s="229">
        <f t="shared" si="134"/>
        <v>638.87712515774774</v>
      </c>
      <c r="BD67" s="229">
        <f t="shared" si="134"/>
        <v>-46.744736111970269</v>
      </c>
      <c r="BE67" s="230">
        <f t="shared" ref="BE67" si="135">BE2-BE43</f>
        <v>41.917005903699192</v>
      </c>
    </row>
    <row r="68" spans="1:57" x14ac:dyDescent="0.2">
      <c r="A68" s="88" t="s">
        <v>35</v>
      </c>
      <c r="B68" s="73"/>
      <c r="C68" s="73"/>
      <c r="D68" s="73"/>
      <c r="E68" s="73"/>
      <c r="F68" s="73"/>
      <c r="G68" s="73"/>
      <c r="H68" s="73"/>
      <c r="I68" s="84">
        <f>ABS(I67)</f>
        <v>306</v>
      </c>
      <c r="J68" s="84">
        <f t="shared" ref="J68:BD68" si="136">ABS(J67)</f>
        <v>7</v>
      </c>
      <c r="K68" s="84">
        <f t="shared" si="136"/>
        <v>110</v>
      </c>
      <c r="L68" s="84">
        <f t="shared" si="136"/>
        <v>258.00000000000023</v>
      </c>
      <c r="M68" s="84">
        <f t="shared" si="136"/>
        <v>190</v>
      </c>
      <c r="N68" s="84">
        <f t="shared" si="136"/>
        <v>242</v>
      </c>
      <c r="O68" s="84">
        <f t="shared" si="136"/>
        <v>187.99999999999989</v>
      </c>
      <c r="P68" s="84">
        <f t="shared" si="136"/>
        <v>144.80833333333339</v>
      </c>
      <c r="Q68" s="84">
        <f t="shared" si="136"/>
        <v>581.00104166666642</v>
      </c>
      <c r="R68" s="84">
        <f t="shared" si="136"/>
        <v>59.168750000000273</v>
      </c>
      <c r="S68" s="84">
        <f t="shared" si="136"/>
        <v>246.77916666666647</v>
      </c>
      <c r="T68" s="84">
        <f t="shared" si="136"/>
        <v>62.776041666666742</v>
      </c>
      <c r="U68" s="84">
        <f t="shared" si="136"/>
        <v>135.54166666666674</v>
      </c>
      <c r="V68" s="84">
        <f t="shared" si="136"/>
        <v>106.89999999999998</v>
      </c>
      <c r="W68" s="84">
        <f t="shared" si="136"/>
        <v>147.3020480574678</v>
      </c>
      <c r="X68" s="84">
        <f t="shared" si="136"/>
        <v>327.96184258613857</v>
      </c>
      <c r="Y68" s="84">
        <f t="shared" si="136"/>
        <v>159.46429852458527</v>
      </c>
      <c r="Z68" s="84">
        <f t="shared" si="136"/>
        <v>23.144080673423787</v>
      </c>
      <c r="AA68" s="84">
        <f t="shared" si="136"/>
        <v>339.59160198416157</v>
      </c>
      <c r="AB68" s="84">
        <f t="shared" si="136"/>
        <v>160.22342995169083</v>
      </c>
      <c r="AC68" s="84">
        <f t="shared" si="136"/>
        <v>90.524544741657337</v>
      </c>
      <c r="AD68" s="84">
        <f t="shared" si="136"/>
        <v>98.741144779424758</v>
      </c>
      <c r="AE68" s="84">
        <f t="shared" si="136"/>
        <v>337.47972121759813</v>
      </c>
      <c r="AF68" s="84">
        <f t="shared" si="136"/>
        <v>137.68765827897573</v>
      </c>
      <c r="AG68" s="84">
        <f t="shared" si="136"/>
        <v>117.87184348394635</v>
      </c>
      <c r="AH68" s="84">
        <f t="shared" si="136"/>
        <v>6.2691465847428844</v>
      </c>
      <c r="AI68" s="84">
        <f t="shared" si="136"/>
        <v>207.38800852166628</v>
      </c>
      <c r="AJ68" s="84">
        <f t="shared" si="136"/>
        <v>34.437522866354129</v>
      </c>
      <c r="AK68" s="84">
        <f t="shared" si="136"/>
        <v>1172.8804411637325</v>
      </c>
      <c r="AL68" s="84">
        <f t="shared" si="136"/>
        <v>890.47241319492082</v>
      </c>
      <c r="AM68" s="84">
        <f t="shared" si="136"/>
        <v>1201.4278037276531</v>
      </c>
      <c r="AN68" s="84">
        <f t="shared" si="136"/>
        <v>975.89580609443283</v>
      </c>
      <c r="AO68" s="84">
        <f t="shared" si="136"/>
        <v>846.11615079180069</v>
      </c>
      <c r="AP68" s="84">
        <f t="shared" si="136"/>
        <v>494.99949340845637</v>
      </c>
      <c r="AQ68" s="84">
        <f t="shared" si="136"/>
        <v>792.20789161900348</v>
      </c>
      <c r="AR68" s="84">
        <f t="shared" si="136"/>
        <v>305.55781090762594</v>
      </c>
      <c r="AS68" s="84">
        <f t="shared" si="136"/>
        <v>594.53433737452906</v>
      </c>
      <c r="AT68" s="84">
        <f t="shared" si="136"/>
        <v>67.24958110868738</v>
      </c>
      <c r="AU68" s="84">
        <f t="shared" si="136"/>
        <v>424.05981960930148</v>
      </c>
      <c r="AV68" s="84">
        <f t="shared" si="136"/>
        <v>158.40715813387214</v>
      </c>
      <c r="AW68" s="84">
        <f t="shared" si="136"/>
        <v>139.11682187366887</v>
      </c>
      <c r="AX68" s="84">
        <f t="shared" si="136"/>
        <v>207.54337577350839</v>
      </c>
      <c r="AY68" s="229">
        <f t="shared" si="136"/>
        <v>102.08260110343053</v>
      </c>
      <c r="AZ68" s="229">
        <f t="shared" si="136"/>
        <v>241.8302852392867</v>
      </c>
      <c r="BA68" s="229">
        <f t="shared" si="136"/>
        <v>59.102029016760753</v>
      </c>
      <c r="BB68" s="229">
        <f t="shared" si="136"/>
        <v>489.40373983038126</v>
      </c>
      <c r="BC68" s="229">
        <f t="shared" si="136"/>
        <v>638.87712515774774</v>
      </c>
      <c r="BD68" s="229">
        <f t="shared" si="136"/>
        <v>46.744736111970269</v>
      </c>
      <c r="BE68" s="230">
        <f t="shared" ref="BE68" si="137">ABS(BE67)</f>
        <v>41.917005903699192</v>
      </c>
    </row>
    <row r="69" spans="1:57" ht="16" thickBot="1" x14ac:dyDescent="0.25">
      <c r="A69" s="89" t="s">
        <v>36</v>
      </c>
      <c r="B69" s="76"/>
      <c r="C69" s="76"/>
      <c r="D69" s="76"/>
      <c r="E69" s="76"/>
      <c r="F69" s="76"/>
      <c r="G69" s="76"/>
      <c r="H69" s="76"/>
      <c r="I69" s="85">
        <f>I67^2</f>
        <v>93636</v>
      </c>
      <c r="J69" s="85">
        <f t="shared" ref="J69:BD69" si="138">J67^2</f>
        <v>49</v>
      </c>
      <c r="K69" s="85">
        <f t="shared" si="138"/>
        <v>12100</v>
      </c>
      <c r="L69" s="85">
        <f t="shared" si="138"/>
        <v>66564.000000000116</v>
      </c>
      <c r="M69" s="85">
        <f t="shared" si="138"/>
        <v>36100</v>
      </c>
      <c r="N69" s="85">
        <f t="shared" si="138"/>
        <v>58564</v>
      </c>
      <c r="O69" s="85">
        <f t="shared" si="138"/>
        <v>35343.999999999956</v>
      </c>
      <c r="P69" s="85">
        <f t="shared" si="138"/>
        <v>20969.453402777795</v>
      </c>
      <c r="Q69" s="85">
        <f t="shared" si="138"/>
        <v>337562.21041775146</v>
      </c>
      <c r="R69" s="85">
        <f t="shared" si="138"/>
        <v>3500.9409765625323</v>
      </c>
      <c r="S69" s="85">
        <f t="shared" si="138"/>
        <v>60899.957100694344</v>
      </c>
      <c r="T69" s="85">
        <f t="shared" si="138"/>
        <v>3940.8314073350789</v>
      </c>
      <c r="U69" s="85">
        <f t="shared" si="138"/>
        <v>18371.543402777799</v>
      </c>
      <c r="V69" s="85">
        <f t="shared" si="138"/>
        <v>11427.609999999995</v>
      </c>
      <c r="W69" s="85">
        <f t="shared" si="138"/>
        <v>21697.893361924554</v>
      </c>
      <c r="X69" s="85">
        <f t="shared" si="138"/>
        <v>107558.97019249514</v>
      </c>
      <c r="Y69" s="85">
        <f t="shared" si="138"/>
        <v>25428.862503938049</v>
      </c>
      <c r="Z69" s="85">
        <f t="shared" si="138"/>
        <v>535.64847021794844</v>
      </c>
      <c r="AA69" s="85">
        <f t="shared" si="138"/>
        <v>115322.4561381692</v>
      </c>
      <c r="AB69" s="85">
        <f t="shared" si="138"/>
        <v>25671.547505484377</v>
      </c>
      <c r="AC69" s="85">
        <f t="shared" si="138"/>
        <v>8194.6932006843217</v>
      </c>
      <c r="AD69" s="85">
        <f t="shared" si="138"/>
        <v>9749.8136723513217</v>
      </c>
      <c r="AE69" s="85">
        <f t="shared" si="138"/>
        <v>113892.56223310775</v>
      </c>
      <c r="AF69" s="85">
        <f t="shared" si="138"/>
        <v>18957.891242347996</v>
      </c>
      <c r="AG69" s="85">
        <f t="shared" si="138"/>
        <v>13893.771486303945</v>
      </c>
      <c r="AH69" s="85">
        <f t="shared" si="138"/>
        <v>39.302198900993375</v>
      </c>
      <c r="AI69" s="85">
        <f t="shared" si="138"/>
        <v>43009.786078582729</v>
      </c>
      <c r="AJ69" s="85">
        <f t="shared" si="138"/>
        <v>1185.9429811706634</v>
      </c>
      <c r="AK69" s="85">
        <f t="shared" si="138"/>
        <v>1375648.5292644317</v>
      </c>
      <c r="AL69" s="85">
        <f t="shared" si="138"/>
        <v>792941.11866118584</v>
      </c>
      <c r="AM69" s="85">
        <f t="shared" si="138"/>
        <v>1443428.7675698521</v>
      </c>
      <c r="AN69" s="85">
        <f t="shared" si="138"/>
        <v>952372.62435270287</v>
      </c>
      <c r="AO69" s="85">
        <f t="shared" si="138"/>
        <v>715912.54063073325</v>
      </c>
      <c r="AP69" s="85">
        <f t="shared" si="138"/>
        <v>245024.49847462843</v>
      </c>
      <c r="AQ69" s="85">
        <f t="shared" si="138"/>
        <v>627593.34354342672</v>
      </c>
      <c r="AR69" s="85">
        <f t="shared" si="138"/>
        <v>93365.57580666049</v>
      </c>
      <c r="AS69" s="85">
        <f t="shared" si="138"/>
        <v>353471.07831737032</v>
      </c>
      <c r="AT69" s="85">
        <f t="shared" si="138"/>
        <v>4522.5061592939228</v>
      </c>
      <c r="AU69" s="85">
        <f t="shared" si="138"/>
        <v>179826.73060707332</v>
      </c>
      <c r="AV69" s="85">
        <f t="shared" si="138"/>
        <v>25092.827748049574</v>
      </c>
      <c r="AW69" s="85">
        <f t="shared" si="138"/>
        <v>19353.490128230114</v>
      </c>
      <c r="AX69" s="85">
        <f t="shared" si="138"/>
        <v>43074.252827463708</v>
      </c>
      <c r="AY69" s="86">
        <f t="shared" si="138"/>
        <v>10420.857448042118</v>
      </c>
      <c r="AZ69" s="86">
        <f t="shared" si="138"/>
        <v>58481.886858914768</v>
      </c>
      <c r="BA69" s="86">
        <f t="shared" si="138"/>
        <v>3493.0498338980301</v>
      </c>
      <c r="BB69" s="86">
        <f t="shared" si="138"/>
        <v>239516.02055996351</v>
      </c>
      <c r="BC69" s="86">
        <f t="shared" si="138"/>
        <v>408163.98104982846</v>
      </c>
      <c r="BD69" s="86">
        <f t="shared" si="138"/>
        <v>2185.0703541777375</v>
      </c>
      <c r="BE69" s="231">
        <f t="shared" ref="BE69" si="139">BE67^2</f>
        <v>1757.0353839307529</v>
      </c>
    </row>
    <row r="70" spans="1:57" ht="16" thickBot="1" x14ac:dyDescent="0.25">
      <c r="A70" s="5"/>
    </row>
    <row r="71" spans="1:57" x14ac:dyDescent="0.2">
      <c r="A71" s="87" t="s">
        <v>37</v>
      </c>
      <c r="B71" s="79"/>
      <c r="C71" s="79"/>
      <c r="D71" s="79"/>
      <c r="E71" s="79"/>
      <c r="F71" s="79"/>
      <c r="G71" s="79"/>
      <c r="H71" s="79"/>
      <c r="I71" s="82">
        <f>SUM($I$67:I67)/COUNT($I$67:I67)</f>
        <v>306</v>
      </c>
      <c r="J71" s="82">
        <f>SUM($I$67:J67)/COUNT($I$67:J67)</f>
        <v>156.5</v>
      </c>
      <c r="K71" s="82">
        <f>SUM($I$67:K67)/COUNT($I$67:K67)</f>
        <v>141</v>
      </c>
      <c r="L71" s="82">
        <f>SUM($I$67:L67)/COUNT($I$67:L67)</f>
        <v>170.25000000000006</v>
      </c>
      <c r="M71" s="82">
        <f>SUM($I$67:M67)/COUNT($I$67:M67)</f>
        <v>98.200000000000045</v>
      </c>
      <c r="N71" s="82">
        <f>SUM($I$67:N67)/COUNT($I$67:N67)</f>
        <v>41.500000000000036</v>
      </c>
      <c r="O71" s="82">
        <f>SUM($I$67:O67)/COUNT($I$67:O67)</f>
        <v>62.428571428571445</v>
      </c>
      <c r="P71" s="82">
        <f>SUM($I$67:P67)/COUNT($I$67:P67)</f>
        <v>72.726041666666688</v>
      </c>
      <c r="Q71" s="82">
        <f>SUM($I$67:Q67)/COUNT($I$67:Q67)</f>
        <v>8.9699074074120394E-2</v>
      </c>
      <c r="R71" s="82">
        <f>SUM($I$67:R67)/COUNT($I$67:R67)</f>
        <v>-5.8361458333333189</v>
      </c>
      <c r="S71" s="82">
        <f>SUM($I$67:S67)/COUNT($I$67:S67)</f>
        <v>17.128882575757572</v>
      </c>
      <c r="T71" s="82">
        <f>SUM($I$67:T67)/COUNT($I$67:T67)</f>
        <v>10.470138888888878</v>
      </c>
      <c r="U71" s="82">
        <f>SUM($I$67:U67)/COUNT($I$67:U67)</f>
        <v>-0.76153846153847726</v>
      </c>
      <c r="V71" s="82">
        <f>SUM($I$67:V67)/COUNT($I$67:V67)</f>
        <v>6.9285714285714119</v>
      </c>
      <c r="W71" s="82">
        <f>SUM($I$67:W67)/COUNT($I$67:W67)</f>
        <v>16.286803203831173</v>
      </c>
      <c r="X71" s="82">
        <f>SUM($I$67:X67)/COUNT($I$67:X67)</f>
        <v>-5.2287371580419375</v>
      </c>
      <c r="Y71" s="82">
        <f>SUM($I$67:Y67)/COUNT($I$67:Y67)</f>
        <v>4.4590884703478988</v>
      </c>
      <c r="Z71" s="82">
        <f>SUM($I$67:Z67)/COUNT($I$67:Z67)</f>
        <v>2.9255790734716935</v>
      </c>
      <c r="AA71" s="82">
        <f>SUM($I$67:AA67)/COUNT($I$67:AA67)</f>
        <v>20.644843437192215</v>
      </c>
      <c r="AB71" s="82">
        <f>SUM($I$67:AB67)/COUNT($I$67:AB67)</f>
        <v>27.623772762917145</v>
      </c>
      <c r="AC71" s="82">
        <f>SUM($I$67:AC67)/COUNT($I$67:AC67)</f>
        <v>30.619047619047631</v>
      </c>
      <c r="AD71" s="82">
        <f>SUM($I$67:AD67)/COUNT($I$67:AD67)</f>
        <v>24.739038873662523</v>
      </c>
      <c r="AE71" s="82">
        <f>SUM($I$67:AE67)/COUNT($I$67:AE67)</f>
        <v>8.990397130564233</v>
      </c>
      <c r="AF71" s="82">
        <f>SUM($I$67:AF67)/COUNT($I$67:AF67)</f>
        <v>2.8788114885000673</v>
      </c>
      <c r="AG71" s="82">
        <f>SUM($I$67:AG67)/COUNT($I$67:AG67)</f>
        <v>-1.9512147103977895</v>
      </c>
      <c r="AH71" s="82">
        <f>SUM($I$67:AH67)/COUNT($I$67:AH67)</f>
        <v>-2.1172890132572162</v>
      </c>
      <c r="AI71" s="82">
        <f>SUM($I$67:AI67)/COUNT($I$67:AI67)</f>
        <v>-9.719908254309404</v>
      </c>
      <c r="AJ71" s="82">
        <f>SUM($I$67:AJ67)/COUNT($I$67:AJ67)</f>
        <v>-8.1428571428571352</v>
      </c>
      <c r="AK71" s="82">
        <f>SUM($I$67:AK67)/COUNT($I$67:AK67)</f>
        <v>32.582084178059752</v>
      </c>
      <c r="AL71" s="82">
        <f>SUM($I$67:AL67)/COUNT($I$67:AL67)</f>
        <v>61.178428478621782</v>
      </c>
      <c r="AM71" s="82">
        <f>SUM($I$67:AM67)/COUNT($I$67:AM67)</f>
        <v>97.960666389880856</v>
      </c>
      <c r="AN71" s="82">
        <f>SUM($I$67:AN67)/COUNT($I$67:AN67)</f>
        <v>125.39613950564811</v>
      </c>
      <c r="AO71" s="82">
        <f>SUM($I$67:AO67)/COUNT($I$67:AO67)</f>
        <v>147.23613984765274</v>
      </c>
      <c r="AP71" s="82">
        <f>SUM($I$67:AP67)/COUNT($I$67:AP67)</f>
        <v>157.46447377591164</v>
      </c>
      <c r="AQ71" s="82">
        <f>SUM($I$67:AQ67)/COUNT($I$67:AQ67)</f>
        <v>175.6</v>
      </c>
      <c r="AR71" s="82">
        <f>SUM($I$67:AR67)/COUNT($I$67:AR67)</f>
        <v>179.2099391918785</v>
      </c>
      <c r="AS71" s="82">
        <f>SUM($I$67:AS67)/COUNT($I$67:AS67)</f>
        <v>158.29793171711071</v>
      </c>
      <c r="AT71" s="82">
        <f>SUM($I$67:AT67)/COUNT($I$67:AT67)</f>
        <v>152.36247085327395</v>
      </c>
      <c r="AU71" s="82">
        <f>SUM($I$67:AU67)/COUNT($I$67:AU67)</f>
        <v>159.32906953932593</v>
      </c>
      <c r="AV71" s="82">
        <f>SUM($I$67:AV67)/COUNT($I$67:AV67)</f>
        <v>151.38566384749598</v>
      </c>
      <c r="AW71" s="82">
        <f>SUM($I$67:AW67)/COUNT($I$67:AW67)</f>
        <v>151.08642379935387</v>
      </c>
      <c r="AX71" s="82">
        <f>SUM($I$67:AX67)/COUNT($I$67:AX67)</f>
        <v>142.54761904761904</v>
      </c>
      <c r="AY71" s="83">
        <f>SUM($AY$67:AY67)/COUNT($AY$67:AY67)</f>
        <v>102.08260110343053</v>
      </c>
      <c r="AZ71" s="83">
        <f>SUM($AY$67:AZ67)/COUNT($AY$67:AZ67)</f>
        <v>-69.873842067928081</v>
      </c>
      <c r="BA71" s="83">
        <f>SUM($AY$67:BA67)/COUNT($AY$67:BA67)</f>
        <v>-26.881885039698471</v>
      </c>
      <c r="BB71" s="83">
        <f>SUM($AY$67:BB67)/COUNT($AY$67:BB67)</f>
        <v>-142.51234873736917</v>
      </c>
      <c r="BC71" s="83">
        <f>SUM($AY$67:BC67)/COUNT($AY$67:BC67)</f>
        <v>13.765546041654215</v>
      </c>
      <c r="BD71" s="83">
        <f>SUM($AY$67:BD67)/COUNT($AY$67:BD67)</f>
        <v>3.6804990160501347</v>
      </c>
      <c r="BE71" s="228">
        <f>SUM($AY$67:BE67)/COUNT($AY$67:BE67)</f>
        <v>9.1428571428571423</v>
      </c>
    </row>
    <row r="72" spans="1:57" x14ac:dyDescent="0.2">
      <c r="A72" s="88" t="s">
        <v>38</v>
      </c>
      <c r="B72" s="73"/>
      <c r="C72" s="73"/>
      <c r="D72" s="73"/>
      <c r="E72" s="73"/>
      <c r="F72" s="73"/>
      <c r="G72" s="73"/>
      <c r="H72" s="73"/>
      <c r="I72" s="84">
        <f>SUM($I$68:I68)/COUNT($I$68:I68)</f>
        <v>306</v>
      </c>
      <c r="J72" s="84">
        <f>SUM($I$68:J68)/COUNT($I$68:J68)</f>
        <v>156.5</v>
      </c>
      <c r="K72" s="84">
        <f>SUM($I$68:K68)/COUNT($I$68:K68)</f>
        <v>141</v>
      </c>
      <c r="L72" s="84">
        <f>SUM($I$68:L68)/COUNT($I$68:L68)</f>
        <v>170.25000000000006</v>
      </c>
      <c r="M72" s="84">
        <f>SUM($I$68:M68)/COUNT($I$68:M68)</f>
        <v>174.20000000000005</v>
      </c>
      <c r="N72" s="84">
        <f>SUM($I$68:N68)/COUNT($I$68:N68)</f>
        <v>185.50000000000003</v>
      </c>
      <c r="O72" s="84">
        <f>SUM($I$68:O68)/COUNT($I$68:O68)</f>
        <v>185.85714285714286</v>
      </c>
      <c r="P72" s="84">
        <f>SUM($I$68:P68)/COUNT($I$68:P68)</f>
        <v>180.72604166666667</v>
      </c>
      <c r="Q72" s="84">
        <f>SUM($I$68:Q68)/COUNT($I$68:Q68)</f>
        <v>225.20104166666664</v>
      </c>
      <c r="R72" s="84">
        <f>SUM($I$68:R68)/COUNT($I$68:R68)</f>
        <v>208.5978125</v>
      </c>
      <c r="S72" s="84">
        <f>SUM($I$68:S68)/COUNT($I$68:S68)</f>
        <v>212.06884469696971</v>
      </c>
      <c r="T72" s="84">
        <f>SUM($I$68:T68)/COUNT($I$68:T68)</f>
        <v>199.62777777777782</v>
      </c>
      <c r="U72" s="84">
        <f>SUM($I$68:U68)/COUNT($I$68:U68)</f>
        <v>194.69807692307697</v>
      </c>
      <c r="V72" s="84">
        <f>SUM($I$68:V68)/COUNT($I$68:V68)</f>
        <v>188.42678571428578</v>
      </c>
      <c r="W72" s="84">
        <f>SUM($I$68:W68)/COUNT($I$68:W68)</f>
        <v>185.68513653716457</v>
      </c>
      <c r="X72" s="84">
        <f>SUM($I$68:X68)/COUNT($I$68:X68)</f>
        <v>194.57743066522545</v>
      </c>
      <c r="Y72" s="84">
        <f>SUM($I$68:Y68)/COUNT($I$68:Y68)</f>
        <v>192.51195230401134</v>
      </c>
      <c r="Z72" s="84">
        <f>SUM($I$68:Z68)/COUNT($I$68:Z68)</f>
        <v>183.102626102312</v>
      </c>
      <c r="AA72" s="84">
        <f>SUM($I$68:AA68)/COUNT($I$68:AA68)</f>
        <v>191.33888799083041</v>
      </c>
      <c r="AB72" s="84">
        <f>SUM($I$68:AB68)/COUNT($I$68:AB68)</f>
        <v>189.78311508887344</v>
      </c>
      <c r="AC72" s="84">
        <f>SUM($I$68:AC68)/COUNT($I$68:AC68)</f>
        <v>185.05651650091076</v>
      </c>
      <c r="AD72" s="84">
        <f>SUM($I$68:AD68)/COUNT($I$68:AD68)</f>
        <v>181.13309051357049</v>
      </c>
      <c r="AE72" s="84">
        <f>SUM($I$68:AE68)/COUNT($I$68:AE68)</f>
        <v>187.9307701093978</v>
      </c>
      <c r="AF72" s="84">
        <f>SUM($I$68:AF68)/COUNT($I$68:AF68)</f>
        <v>185.83730711646353</v>
      </c>
      <c r="AG72" s="84">
        <f>SUM($I$68:AG68)/COUNT($I$68:AG68)</f>
        <v>183.11868857116286</v>
      </c>
      <c r="AH72" s="84">
        <f>SUM($I$68:AH68)/COUNT($I$68:AH68)</f>
        <v>176.3167831101467</v>
      </c>
      <c r="AI72" s="84">
        <f>SUM($I$68:AI68)/COUNT($I$68:AI68)</f>
        <v>177.46756923649926</v>
      </c>
      <c r="AJ72" s="84">
        <f>SUM($I$68:AJ68)/COUNT($I$68:AJ68)</f>
        <v>172.35935329470837</v>
      </c>
      <c r="AK72" s="84">
        <f>SUM($I$68:AK68)/COUNT($I$68:AK68)</f>
        <v>206.86008046260577</v>
      </c>
      <c r="AL72" s="84">
        <f>SUM($I$68:AL68)/COUNT($I$68:AL68)</f>
        <v>229.64715822034958</v>
      </c>
      <c r="AM72" s="84">
        <f>SUM($I$68:AM68)/COUNT($I$68:AM68)</f>
        <v>260.9949209786497</v>
      </c>
      <c r="AN72" s="84">
        <f>SUM($I$68:AN68)/COUNT($I$68:AN68)</f>
        <v>283.33557363851793</v>
      </c>
      <c r="AO72" s="84">
        <f>SUM($I$68:AO68)/COUNT($I$68:AO68)</f>
        <v>300.38953052195075</v>
      </c>
      <c r="AP72" s="84">
        <f>SUM($I$68:AP68)/COUNT($I$68:AP68)</f>
        <v>306.11335295978915</v>
      </c>
      <c r="AQ72" s="84">
        <f>SUM($I$68:AQ68)/COUNT($I$68:AQ68)</f>
        <v>320.00176835005243</v>
      </c>
      <c r="AR72" s="84">
        <f>SUM($I$68:AR68)/COUNT($I$68:AR68)</f>
        <v>319.60054730998502</v>
      </c>
      <c r="AS72" s="84">
        <f>SUM($I$68:AS68)/COUNT($I$68:AS68)</f>
        <v>327.0311902847024</v>
      </c>
      <c r="AT72" s="84">
        <f>SUM($I$68:AT68)/COUNT($I$68:AT68)</f>
        <v>320.19483214849146</v>
      </c>
      <c r="AU72" s="84">
        <f>SUM($I$68:AU68)/COUNT($I$68:AU68)</f>
        <v>322.85803695517887</v>
      </c>
      <c r="AV72" s="84">
        <f>SUM($I$68:AV68)/COUNT($I$68:AV68)</f>
        <v>318.74676498464623</v>
      </c>
      <c r="AW72" s="84">
        <f>SUM($I$68:AW68)/COUNT($I$68:AW68)</f>
        <v>314.36554685998829</v>
      </c>
      <c r="AX72" s="84">
        <f>SUM($I$68:AX68)/COUNT($I$68:AX68)</f>
        <v>311.8221618341197</v>
      </c>
      <c r="AY72" s="229">
        <f>SUM($AY$68:AY68)/COUNT($AY$68:AY68)</f>
        <v>102.08260110343053</v>
      </c>
      <c r="AZ72" s="229">
        <f>SUM($AY$68:AZ68)/COUNT($AY$68:AZ68)</f>
        <v>171.95644317135861</v>
      </c>
      <c r="BA72" s="229">
        <f>SUM($AY$68:BA68)/COUNT($AY$68:BA68)</f>
        <v>134.338305119826</v>
      </c>
      <c r="BB72" s="229">
        <f>SUM($AY$68:BB68)/COUNT($AY$68:BB68)</f>
        <v>223.10466379746481</v>
      </c>
      <c r="BC72" s="229">
        <f>SUM($AY$68:BC68)/COUNT($AY$68:BC68)</f>
        <v>306.2591560695214</v>
      </c>
      <c r="BD72" s="229">
        <f>SUM($AY$68:BD68)/COUNT($AY$68:BD68)</f>
        <v>263.00675274326289</v>
      </c>
      <c r="BE72" s="230">
        <f>SUM($AY$68:BE68)/COUNT($AY$68:BE68)</f>
        <v>231.42250319475377</v>
      </c>
    </row>
    <row r="73" spans="1:57" x14ac:dyDescent="0.2">
      <c r="A73" s="88" t="s">
        <v>39</v>
      </c>
      <c r="B73" s="73"/>
      <c r="C73" s="73"/>
      <c r="D73" s="73"/>
      <c r="E73" s="73"/>
      <c r="F73" s="73"/>
      <c r="G73" s="73"/>
      <c r="H73" s="73"/>
      <c r="I73" s="84">
        <f>SUM($I$69:I69)/COUNT($I$69:I69)</f>
        <v>93636</v>
      </c>
      <c r="J73" s="84">
        <f>SUM($I$69:J69)/COUNT($I$69:J69)</f>
        <v>46842.5</v>
      </c>
      <c r="K73" s="84">
        <f>SUM($I$69:K69)/COUNT($I$69:K69)</f>
        <v>35261.666666666664</v>
      </c>
      <c r="L73" s="84">
        <f>SUM($I$69:L69)/COUNT($I$69:L69)</f>
        <v>43087.250000000029</v>
      </c>
      <c r="M73" s="84">
        <f>SUM($I$69:M69)/COUNT($I$69:M69)</f>
        <v>41689.800000000025</v>
      </c>
      <c r="N73" s="84">
        <f>SUM($I$69:N69)/COUNT($I$69:N69)</f>
        <v>44502.166666666686</v>
      </c>
      <c r="O73" s="84">
        <f>SUM($I$69:O69)/COUNT($I$69:O69)</f>
        <v>43193.857142857152</v>
      </c>
      <c r="P73" s="84">
        <f>SUM($I$69:P69)/COUNT($I$69:P69)</f>
        <v>40415.80667534723</v>
      </c>
      <c r="Q73" s="84">
        <f>SUM($I$69:Q69)/COUNT($I$69:Q69)</f>
        <v>73432.073757836595</v>
      </c>
      <c r="R73" s="84">
        <f>SUM($I$69:R69)/COUNT($I$69:R69)</f>
        <v>66438.960479709189</v>
      </c>
      <c r="S73" s="84">
        <f>SUM($I$69:S69)/COUNT($I$69:S69)</f>
        <v>65935.414717980559</v>
      </c>
      <c r="T73" s="84">
        <f>SUM($I$69:T69)/COUNT($I$69:T69)</f>
        <v>60769.199442093442</v>
      </c>
      <c r="U73" s="84">
        <f>SUM($I$69:U69)/COUNT($I$69:U69)</f>
        <v>57507.84128522301</v>
      </c>
      <c r="V73" s="84">
        <f>SUM($I$69:V69)/COUNT($I$69:V69)</f>
        <v>54216.396193421366</v>
      </c>
      <c r="W73" s="84">
        <f>SUM($I$69:W69)/COUNT($I$69:W69)</f>
        <v>52048.496004654909</v>
      </c>
      <c r="X73" s="84">
        <f>SUM($I$69:X69)/COUNT($I$69:X69)</f>
        <v>55517.900641394925</v>
      </c>
      <c r="Y73" s="84">
        <f>SUM($I$69:Y69)/COUNT($I$69:Y69)</f>
        <v>53747.957221544522</v>
      </c>
      <c r="Z73" s="84">
        <f>SUM($I$69:Z69)/COUNT($I$69:Z69)</f>
        <v>50791.717846470819</v>
      </c>
      <c r="AA73" s="84">
        <f>SUM($I$69:AA69)/COUNT($I$69:AA69)</f>
        <v>54188.072493402309</v>
      </c>
      <c r="AB73" s="84">
        <f>SUM($I$69:AB69)/COUNT($I$69:AB69)</f>
        <v>52762.246244006419</v>
      </c>
      <c r="AC73" s="84">
        <f>SUM($I$69:AC69)/COUNT($I$69:AC69)</f>
        <v>50639.981813372033</v>
      </c>
      <c r="AD73" s="84">
        <f>SUM($I$69:AD69)/COUNT($I$69:AD69)</f>
        <v>48781.337806962008</v>
      </c>
      <c r="AE73" s="84">
        <f>SUM($I$69:AE69)/COUNT($I$69:AE69)</f>
        <v>51612.260608098775</v>
      </c>
      <c r="AF73" s="84">
        <f>SUM($I$69:AF69)/COUNT($I$69:AF69)</f>
        <v>50251.66188452582</v>
      </c>
      <c r="AG73" s="84">
        <f>SUM($I$69:AG69)/COUNT($I$69:AG69)</f>
        <v>48797.34626859695</v>
      </c>
      <c r="AH73" s="84">
        <f>SUM($I$69:AH69)/COUNT($I$69:AH69)</f>
        <v>46922.036881300955</v>
      </c>
      <c r="AI73" s="84">
        <f>SUM($I$69:AI69)/COUNT($I$69:AI69)</f>
        <v>46777.138703422497</v>
      </c>
      <c r="AJ73" s="84">
        <f>SUM($I$69:AJ69)/COUNT($I$69:AJ69)</f>
        <v>45148.881713342082</v>
      </c>
      <c r="AK73" s="84">
        <f>SUM($I$69:AK69)/COUNT($I$69:AK69)</f>
        <v>91028.179904758959</v>
      </c>
      <c r="AL73" s="84">
        <f>SUM($I$69:AL69)/COUNT($I$69:AL69)</f>
        <v>114425.27786330652</v>
      </c>
      <c r="AM73" s="84">
        <f>SUM($I$69:AM69)/COUNT($I$69:AM69)</f>
        <v>157296.35817642088</v>
      </c>
      <c r="AN73" s="84">
        <f>SUM($I$69:AN69)/COUNT($I$69:AN69)</f>
        <v>182142.49149442971</v>
      </c>
      <c r="AO73" s="84">
        <f>SUM($I$69:AO69)/COUNT($I$69:AO69)</f>
        <v>198317.3414682571</v>
      </c>
      <c r="AP73" s="84">
        <f>SUM($I$69:AP69)/COUNT($I$69:AP69)</f>
        <v>199691.08138020919</v>
      </c>
      <c r="AQ73" s="84">
        <f>SUM($I$69:AQ69)/COUNT($I$69:AQ69)</f>
        <v>211916.86029915829</v>
      </c>
      <c r="AR73" s="84">
        <f>SUM($I$69:AR69)/COUNT($I$69:AR69)</f>
        <v>208623.76906325558</v>
      </c>
      <c r="AS73" s="84">
        <f>SUM($I$69:AS69)/COUNT($I$69:AS69)</f>
        <v>212538.56120525868</v>
      </c>
      <c r="AT73" s="84">
        <f>SUM($I$69:AT69)/COUNT($I$69:AT69)</f>
        <v>207064.45449352273</v>
      </c>
      <c r="AU73" s="84">
        <f>SUM($I$69:AU69)/COUNT($I$69:AU69)</f>
        <v>206366.05131694712</v>
      </c>
      <c r="AV73" s="84">
        <f>SUM($I$69:AV69)/COUNT($I$69:AV69)</f>
        <v>201834.22072772469</v>
      </c>
      <c r="AW73" s="84">
        <f>SUM($I$69:AW69)/COUNT($I$69:AW69)</f>
        <v>197383.47120090775</v>
      </c>
      <c r="AX73" s="84">
        <f>SUM($I$69:AX69)/COUNT($I$69:AX69)</f>
        <v>193709.44219201623</v>
      </c>
      <c r="AY73" s="229">
        <f>SUM($AY$69:AY69)/COUNT($AY$69:AY69)</f>
        <v>10420.857448042118</v>
      </c>
      <c r="AZ73" s="229">
        <f>SUM($AY$69:AZ69)/COUNT($AY$69:AZ69)</f>
        <v>34451.372153478442</v>
      </c>
      <c r="BA73" s="229">
        <f>SUM($AY$69:BA69)/COUNT($AY$69:BA69)</f>
        <v>24131.931380284968</v>
      </c>
      <c r="BB73" s="229">
        <f>SUM($AY$69:BB69)/COUNT($AY$69:BB69)</f>
        <v>77977.953675204597</v>
      </c>
      <c r="BC73" s="229">
        <f>SUM($AY$69:BC69)/COUNT($AY$69:BC69)</f>
        <v>144015.15915012936</v>
      </c>
      <c r="BD73" s="229">
        <f>SUM($AY$69:BD69)/COUNT($AY$69:BD69)</f>
        <v>120376.81101747077</v>
      </c>
      <c r="BE73" s="230">
        <f>SUM($AY$69:BE69)/COUNT($AY$69:BE69)</f>
        <v>103431.1287841079</v>
      </c>
    </row>
    <row r="74" spans="1:57" ht="16" thickBot="1" x14ac:dyDescent="0.25">
      <c r="A74" s="89" t="s">
        <v>40</v>
      </c>
      <c r="B74" s="76"/>
      <c r="C74" s="76"/>
      <c r="D74" s="76"/>
      <c r="E74" s="76"/>
      <c r="F74" s="76"/>
      <c r="G74" s="76"/>
      <c r="H74" s="76"/>
      <c r="I74" s="85">
        <f>SQRT(I73)</f>
        <v>306</v>
      </c>
      <c r="J74" s="85">
        <f t="shared" ref="J74:BD74" si="140">SQRT(J73)</f>
        <v>216.431282396977</v>
      </c>
      <c r="K74" s="85">
        <f t="shared" si="140"/>
        <v>187.78090069723987</v>
      </c>
      <c r="L74" s="85">
        <f t="shared" si="140"/>
        <v>207.57468535445267</v>
      </c>
      <c r="M74" s="85">
        <f t="shared" si="140"/>
        <v>204.18080223174761</v>
      </c>
      <c r="N74" s="85">
        <f t="shared" si="140"/>
        <v>210.95536652729811</v>
      </c>
      <c r="O74" s="85">
        <f t="shared" si="140"/>
        <v>207.83131896530213</v>
      </c>
      <c r="P74" s="85">
        <f t="shared" si="140"/>
        <v>201.03682915164384</v>
      </c>
      <c r="Q74" s="85">
        <f t="shared" si="140"/>
        <v>270.98353041806172</v>
      </c>
      <c r="R74" s="85">
        <f t="shared" si="140"/>
        <v>257.75756144041475</v>
      </c>
      <c r="S74" s="85">
        <f t="shared" si="140"/>
        <v>256.77892187245538</v>
      </c>
      <c r="T74" s="85">
        <f t="shared" si="140"/>
        <v>246.51409582839972</v>
      </c>
      <c r="U74" s="85">
        <f t="shared" si="140"/>
        <v>239.80792581819102</v>
      </c>
      <c r="V74" s="85">
        <f t="shared" si="140"/>
        <v>232.84414571429826</v>
      </c>
      <c r="W74" s="85">
        <f t="shared" si="140"/>
        <v>228.1413947635433</v>
      </c>
      <c r="X74" s="85">
        <f t="shared" si="140"/>
        <v>235.62236872036348</v>
      </c>
      <c r="Y74" s="85">
        <f t="shared" si="140"/>
        <v>231.83605677621529</v>
      </c>
      <c r="Z74" s="85">
        <f t="shared" si="140"/>
        <v>225.37017958565596</v>
      </c>
      <c r="AA74" s="85">
        <f t="shared" si="140"/>
        <v>232.78331661311623</v>
      </c>
      <c r="AB74" s="85">
        <f t="shared" si="140"/>
        <v>229.70034010424629</v>
      </c>
      <c r="AC74" s="85">
        <f t="shared" si="140"/>
        <v>225.03329045581685</v>
      </c>
      <c r="AD74" s="85">
        <f t="shared" si="140"/>
        <v>220.86497641537014</v>
      </c>
      <c r="AE74" s="85">
        <f t="shared" si="140"/>
        <v>227.18331938788722</v>
      </c>
      <c r="AF74" s="85">
        <f t="shared" si="140"/>
        <v>224.16882451519842</v>
      </c>
      <c r="AG74" s="85">
        <f t="shared" si="140"/>
        <v>220.90121382327655</v>
      </c>
      <c r="AH74" s="85">
        <f t="shared" si="140"/>
        <v>216.61495073355616</v>
      </c>
      <c r="AI74" s="85">
        <f t="shared" si="140"/>
        <v>216.28023188313466</v>
      </c>
      <c r="AJ74" s="85">
        <f t="shared" si="140"/>
        <v>212.48266214762577</v>
      </c>
      <c r="AK74" s="85">
        <f t="shared" si="140"/>
        <v>301.7087667018626</v>
      </c>
      <c r="AL74" s="85">
        <f t="shared" si="140"/>
        <v>338.26805622657679</v>
      </c>
      <c r="AM74" s="85">
        <f t="shared" si="140"/>
        <v>396.60604909206927</v>
      </c>
      <c r="AN74" s="85">
        <f t="shared" si="140"/>
        <v>426.78155008672729</v>
      </c>
      <c r="AO74" s="85">
        <f t="shared" si="140"/>
        <v>445.32835241904047</v>
      </c>
      <c r="AP74" s="85">
        <f t="shared" si="140"/>
        <v>446.86808051169777</v>
      </c>
      <c r="AQ74" s="85">
        <f t="shared" si="140"/>
        <v>460.34428452969661</v>
      </c>
      <c r="AR74" s="85">
        <f t="shared" si="140"/>
        <v>456.75351018164662</v>
      </c>
      <c r="AS74" s="85">
        <f t="shared" si="140"/>
        <v>461.01904646690974</v>
      </c>
      <c r="AT74" s="85">
        <f t="shared" si="140"/>
        <v>455.04335452077828</v>
      </c>
      <c r="AU74" s="85">
        <f t="shared" si="140"/>
        <v>454.27530344158828</v>
      </c>
      <c r="AV74" s="85">
        <f t="shared" si="140"/>
        <v>449.25963621020384</v>
      </c>
      <c r="AW74" s="85">
        <f t="shared" si="140"/>
        <v>444.27859637946523</v>
      </c>
      <c r="AX74" s="85">
        <f t="shared" si="140"/>
        <v>440.12434855619637</v>
      </c>
      <c r="AY74" s="86">
        <f t="shared" si="140"/>
        <v>102.08260110343053</v>
      </c>
      <c r="AZ74" s="86">
        <f t="shared" si="140"/>
        <v>185.61080828841418</v>
      </c>
      <c r="BA74" s="86">
        <f t="shared" si="140"/>
        <v>155.34455697025552</v>
      </c>
      <c r="BB74" s="86">
        <f t="shared" si="140"/>
        <v>279.24532883327629</v>
      </c>
      <c r="BC74" s="86">
        <f t="shared" si="140"/>
        <v>379.49329262864364</v>
      </c>
      <c r="BD74" s="86">
        <f t="shared" si="140"/>
        <v>346.95361508056197</v>
      </c>
      <c r="BE74" s="231">
        <f t="shared" ref="BE74" si="141">SQRT(BE73)</f>
        <v>321.60710313068012</v>
      </c>
    </row>
    <row r="75" spans="1:57" ht="16" thickBot="1" x14ac:dyDescent="0.25">
      <c r="A75" s="5"/>
    </row>
    <row r="76" spans="1:57" x14ac:dyDescent="0.2">
      <c r="A76" s="87" t="s">
        <v>61</v>
      </c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92"/>
      <c r="AZ76" s="92"/>
      <c r="BA76" s="92"/>
      <c r="BB76" s="92"/>
      <c r="BC76" s="92"/>
      <c r="BD76" s="92"/>
      <c r="BE76" s="80"/>
    </row>
    <row r="77" spans="1:57" x14ac:dyDescent="0.2">
      <c r="A77" s="88" t="s">
        <v>34</v>
      </c>
      <c r="B77" s="73"/>
      <c r="C77" s="73"/>
      <c r="D77" s="73"/>
      <c r="E77" s="73"/>
      <c r="F77" s="73"/>
      <c r="G77" s="73"/>
      <c r="H77" s="73"/>
      <c r="I77" s="84">
        <f>I2-I44</f>
        <v>306</v>
      </c>
      <c r="J77" s="84">
        <f t="shared" ref="J77:BD77" si="142">J2-J44</f>
        <v>7</v>
      </c>
      <c r="K77" s="84">
        <f t="shared" si="142"/>
        <v>110</v>
      </c>
      <c r="L77" s="84">
        <f t="shared" si="142"/>
        <v>258.00000000000023</v>
      </c>
      <c r="M77" s="84">
        <f t="shared" si="142"/>
        <v>-190</v>
      </c>
      <c r="N77" s="84">
        <f t="shared" si="142"/>
        <v>-242</v>
      </c>
      <c r="O77" s="84">
        <f t="shared" si="142"/>
        <v>187.99999999999989</v>
      </c>
      <c r="P77" s="84">
        <f t="shared" si="142"/>
        <v>154.15869565217372</v>
      </c>
      <c r="Q77" s="84">
        <f t="shared" si="142"/>
        <v>-568.08999094202863</v>
      </c>
      <c r="R77" s="84">
        <f t="shared" si="142"/>
        <v>-57.977989130434935</v>
      </c>
      <c r="S77" s="84">
        <f t="shared" si="142"/>
        <v>228.78858695652184</v>
      </c>
      <c r="T77" s="84">
        <f t="shared" si="142"/>
        <v>-66.579030797101268</v>
      </c>
      <c r="U77" s="84">
        <f t="shared" si="142"/>
        <v>-124.98369565217376</v>
      </c>
      <c r="V77" s="84">
        <f t="shared" si="142"/>
        <v>106.89999999999998</v>
      </c>
      <c r="W77" s="84">
        <f t="shared" si="142"/>
        <v>147.24258182031849</v>
      </c>
      <c r="X77" s="84">
        <f t="shared" si="142"/>
        <v>-321.33736081936422</v>
      </c>
      <c r="Y77" s="84">
        <f t="shared" si="142"/>
        <v>193.67090345497218</v>
      </c>
      <c r="Z77" s="84">
        <f t="shared" si="142"/>
        <v>24.866331241213402</v>
      </c>
      <c r="AA77" s="84">
        <f t="shared" si="142"/>
        <v>303.54830415788456</v>
      </c>
      <c r="AB77" s="84">
        <f t="shared" si="142"/>
        <v>112.58559297173974</v>
      </c>
      <c r="AC77" s="84">
        <f t="shared" si="142"/>
        <v>115.39850425488646</v>
      </c>
      <c r="AD77" s="84">
        <f t="shared" si="142"/>
        <v>38.3934578297401</v>
      </c>
      <c r="AE77" s="84">
        <f t="shared" si="142"/>
        <v>-369.62608073250794</v>
      </c>
      <c r="AF77" s="84">
        <f t="shared" si="142"/>
        <v>-90.166101384508011</v>
      </c>
      <c r="AG77" s="84">
        <f t="shared" si="142"/>
        <v>39.617398565451367</v>
      </c>
      <c r="AH77" s="84">
        <f t="shared" si="142"/>
        <v>-28.566295023108296</v>
      </c>
      <c r="AI77" s="84">
        <f t="shared" si="142"/>
        <v>-277.60525050068986</v>
      </c>
      <c r="AJ77" s="84">
        <f t="shared" si="142"/>
        <v>84.271592458457349</v>
      </c>
      <c r="AK77" s="84">
        <f t="shared" si="142"/>
        <v>1160.3180946738428</v>
      </c>
      <c r="AL77" s="84">
        <f t="shared" si="142"/>
        <v>610.95685290684651</v>
      </c>
      <c r="AM77" s="84">
        <f t="shared" si="142"/>
        <v>1136.5811003445563</v>
      </c>
      <c r="AN77" s="84">
        <f t="shared" si="142"/>
        <v>978.15101240947752</v>
      </c>
      <c r="AO77" s="84">
        <f t="shared" si="142"/>
        <v>808.92979695578924</v>
      </c>
      <c r="AP77" s="84">
        <f t="shared" si="142"/>
        <v>445.18880829735872</v>
      </c>
      <c r="AQ77" s="84">
        <f t="shared" si="142"/>
        <v>844.14544703080026</v>
      </c>
      <c r="AR77" s="84">
        <f t="shared" si="142"/>
        <v>1103.043825363992</v>
      </c>
      <c r="AS77" s="84">
        <f t="shared" si="142"/>
        <v>-200.02277813149249</v>
      </c>
      <c r="AT77" s="84">
        <f t="shared" si="142"/>
        <v>383.18837896323157</v>
      </c>
      <c r="AU77" s="84">
        <f t="shared" si="142"/>
        <v>799.28097356486251</v>
      </c>
      <c r="AV77" s="84">
        <f t="shared" si="142"/>
        <v>4.1525487268095276</v>
      </c>
      <c r="AW77" s="84">
        <f t="shared" si="142"/>
        <v>94.672431859900371</v>
      </c>
      <c r="AX77" s="84">
        <f t="shared" si="142"/>
        <v>-101.08903816703651</v>
      </c>
      <c r="AY77" s="229">
        <f t="shared" si="142"/>
        <v>177.23165319355212</v>
      </c>
      <c r="AZ77" s="229">
        <f t="shared" si="142"/>
        <v>-575.27862249701229</v>
      </c>
      <c r="BA77" s="229">
        <f t="shared" si="142"/>
        <v>104.42108832995382</v>
      </c>
      <c r="BB77" s="229">
        <f t="shared" si="142"/>
        <v>-433.19437570890659</v>
      </c>
      <c r="BC77" s="229">
        <f t="shared" si="142"/>
        <v>630.5591003569707</v>
      </c>
      <c r="BD77" s="229">
        <f t="shared" si="142"/>
        <v>-200.5734873411966</v>
      </c>
      <c r="BE77" s="230">
        <f t="shared" ref="BE77" si="143">BE2-BE44</f>
        <v>171.65365189198087</v>
      </c>
    </row>
    <row r="78" spans="1:57" x14ac:dyDescent="0.2">
      <c r="A78" s="88" t="s">
        <v>35</v>
      </c>
      <c r="B78" s="73"/>
      <c r="C78" s="73"/>
      <c r="D78" s="73"/>
      <c r="E78" s="73"/>
      <c r="F78" s="73"/>
      <c r="G78" s="73"/>
      <c r="H78" s="73"/>
      <c r="I78" s="84">
        <f>ABS(I77)</f>
        <v>306</v>
      </c>
      <c r="J78" s="84">
        <f t="shared" ref="J78:BD78" si="144">ABS(J77)</f>
        <v>7</v>
      </c>
      <c r="K78" s="84">
        <f t="shared" si="144"/>
        <v>110</v>
      </c>
      <c r="L78" s="84">
        <f t="shared" si="144"/>
        <v>258.00000000000023</v>
      </c>
      <c r="M78" s="84">
        <f t="shared" si="144"/>
        <v>190</v>
      </c>
      <c r="N78" s="84">
        <f t="shared" si="144"/>
        <v>242</v>
      </c>
      <c r="O78" s="84">
        <f t="shared" si="144"/>
        <v>187.99999999999989</v>
      </c>
      <c r="P78" s="84">
        <f t="shared" si="144"/>
        <v>154.15869565217372</v>
      </c>
      <c r="Q78" s="84">
        <f t="shared" si="144"/>
        <v>568.08999094202863</v>
      </c>
      <c r="R78" s="84">
        <f t="shared" si="144"/>
        <v>57.977989130434935</v>
      </c>
      <c r="S78" s="84">
        <f t="shared" si="144"/>
        <v>228.78858695652184</v>
      </c>
      <c r="T78" s="84">
        <f t="shared" si="144"/>
        <v>66.579030797101268</v>
      </c>
      <c r="U78" s="84">
        <f t="shared" si="144"/>
        <v>124.98369565217376</v>
      </c>
      <c r="V78" s="84">
        <f t="shared" si="144"/>
        <v>106.89999999999998</v>
      </c>
      <c r="W78" s="84">
        <f t="shared" si="144"/>
        <v>147.24258182031849</v>
      </c>
      <c r="X78" s="84">
        <f t="shared" si="144"/>
        <v>321.33736081936422</v>
      </c>
      <c r="Y78" s="84">
        <f t="shared" si="144"/>
        <v>193.67090345497218</v>
      </c>
      <c r="Z78" s="84">
        <f t="shared" si="144"/>
        <v>24.866331241213402</v>
      </c>
      <c r="AA78" s="84">
        <f t="shared" si="144"/>
        <v>303.54830415788456</v>
      </c>
      <c r="AB78" s="84">
        <f t="shared" si="144"/>
        <v>112.58559297173974</v>
      </c>
      <c r="AC78" s="84">
        <f t="shared" si="144"/>
        <v>115.39850425488646</v>
      </c>
      <c r="AD78" s="84">
        <f t="shared" si="144"/>
        <v>38.3934578297401</v>
      </c>
      <c r="AE78" s="84">
        <f t="shared" si="144"/>
        <v>369.62608073250794</v>
      </c>
      <c r="AF78" s="84">
        <f t="shared" si="144"/>
        <v>90.166101384508011</v>
      </c>
      <c r="AG78" s="84">
        <f t="shared" si="144"/>
        <v>39.617398565451367</v>
      </c>
      <c r="AH78" s="84">
        <f t="shared" si="144"/>
        <v>28.566295023108296</v>
      </c>
      <c r="AI78" s="84">
        <f t="shared" si="144"/>
        <v>277.60525050068986</v>
      </c>
      <c r="AJ78" s="84">
        <f t="shared" si="144"/>
        <v>84.271592458457349</v>
      </c>
      <c r="AK78" s="84">
        <f t="shared" si="144"/>
        <v>1160.3180946738428</v>
      </c>
      <c r="AL78" s="84">
        <f t="shared" si="144"/>
        <v>610.95685290684651</v>
      </c>
      <c r="AM78" s="84">
        <f t="shared" si="144"/>
        <v>1136.5811003445563</v>
      </c>
      <c r="AN78" s="84">
        <f t="shared" si="144"/>
        <v>978.15101240947752</v>
      </c>
      <c r="AO78" s="84">
        <f t="shared" si="144"/>
        <v>808.92979695578924</v>
      </c>
      <c r="AP78" s="84">
        <f t="shared" si="144"/>
        <v>445.18880829735872</v>
      </c>
      <c r="AQ78" s="84">
        <f t="shared" si="144"/>
        <v>844.14544703080026</v>
      </c>
      <c r="AR78" s="84">
        <f t="shared" si="144"/>
        <v>1103.043825363992</v>
      </c>
      <c r="AS78" s="84">
        <f t="shared" si="144"/>
        <v>200.02277813149249</v>
      </c>
      <c r="AT78" s="84">
        <f t="shared" si="144"/>
        <v>383.18837896323157</v>
      </c>
      <c r="AU78" s="84">
        <f t="shared" si="144"/>
        <v>799.28097356486251</v>
      </c>
      <c r="AV78" s="84">
        <f t="shared" si="144"/>
        <v>4.1525487268095276</v>
      </c>
      <c r="AW78" s="84">
        <f t="shared" si="144"/>
        <v>94.672431859900371</v>
      </c>
      <c r="AX78" s="84">
        <f t="shared" si="144"/>
        <v>101.08903816703651</v>
      </c>
      <c r="AY78" s="229">
        <f t="shared" si="144"/>
        <v>177.23165319355212</v>
      </c>
      <c r="AZ78" s="229">
        <f t="shared" si="144"/>
        <v>575.27862249701229</v>
      </c>
      <c r="BA78" s="229">
        <f t="shared" si="144"/>
        <v>104.42108832995382</v>
      </c>
      <c r="BB78" s="229">
        <f t="shared" si="144"/>
        <v>433.19437570890659</v>
      </c>
      <c r="BC78" s="229">
        <f t="shared" si="144"/>
        <v>630.5591003569707</v>
      </c>
      <c r="BD78" s="229">
        <f t="shared" si="144"/>
        <v>200.5734873411966</v>
      </c>
      <c r="BE78" s="230">
        <f t="shared" ref="BE78" si="145">ABS(BE77)</f>
        <v>171.65365189198087</v>
      </c>
    </row>
    <row r="79" spans="1:57" ht="16" thickBot="1" x14ac:dyDescent="0.25">
      <c r="A79" s="89" t="s">
        <v>36</v>
      </c>
      <c r="B79" s="76"/>
      <c r="C79" s="76"/>
      <c r="D79" s="76"/>
      <c r="E79" s="76"/>
      <c r="F79" s="76"/>
      <c r="G79" s="76"/>
      <c r="H79" s="76"/>
      <c r="I79" s="85">
        <f>I77^2</f>
        <v>93636</v>
      </c>
      <c r="J79" s="85">
        <f t="shared" ref="J79:BD79" si="146">J77^2</f>
        <v>49</v>
      </c>
      <c r="K79" s="85">
        <f t="shared" si="146"/>
        <v>12100</v>
      </c>
      <c r="L79" s="85">
        <f t="shared" si="146"/>
        <v>66564.000000000116</v>
      </c>
      <c r="M79" s="85">
        <f t="shared" si="146"/>
        <v>36100</v>
      </c>
      <c r="N79" s="85">
        <f t="shared" si="146"/>
        <v>58564</v>
      </c>
      <c r="O79" s="85">
        <f t="shared" si="146"/>
        <v>35343.999999999956</v>
      </c>
      <c r="P79" s="85">
        <f t="shared" si="146"/>
        <v>23764.903445179523</v>
      </c>
      <c r="Q79" s="85">
        <f t="shared" si="146"/>
        <v>322726.23780851415</v>
      </c>
      <c r="R79" s="85">
        <f t="shared" si="146"/>
        <v>3361.4472236088313</v>
      </c>
      <c r="S79" s="85">
        <f t="shared" si="146"/>
        <v>52344.217521561957</v>
      </c>
      <c r="T79" s="85">
        <f t="shared" si="146"/>
        <v>4432.7673418813592</v>
      </c>
      <c r="U79" s="85">
        <f t="shared" si="146"/>
        <v>15620.924178875199</v>
      </c>
      <c r="V79" s="85">
        <f t="shared" si="146"/>
        <v>11427.609999999995</v>
      </c>
      <c r="W79" s="85">
        <f t="shared" si="146"/>
        <v>21680.377901113185</v>
      </c>
      <c r="X79" s="85">
        <f t="shared" si="146"/>
        <v>103257.69945835427</v>
      </c>
      <c r="Y79" s="85">
        <f t="shared" si="146"/>
        <v>37508.418845065156</v>
      </c>
      <c r="Z79" s="85">
        <f t="shared" si="146"/>
        <v>618.33442939774568</v>
      </c>
      <c r="AA79" s="85">
        <f t="shared" si="146"/>
        <v>92141.572957127602</v>
      </c>
      <c r="AB79" s="85">
        <f t="shared" si="146"/>
        <v>12675.515744798253</v>
      </c>
      <c r="AC79" s="85">
        <f t="shared" si="146"/>
        <v>13316.814784265049</v>
      </c>
      <c r="AD79" s="85">
        <f t="shared" si="146"/>
        <v>1474.0576041240315</v>
      </c>
      <c r="AE79" s="85">
        <f t="shared" si="146"/>
        <v>136623.43955767449</v>
      </c>
      <c r="AF79" s="85">
        <f t="shared" si="146"/>
        <v>8129.9258388813778</v>
      </c>
      <c r="AG79" s="85">
        <f t="shared" si="146"/>
        <v>1569.5382690938281</v>
      </c>
      <c r="AH79" s="85">
        <f t="shared" si="146"/>
        <v>816.03321134726184</v>
      </c>
      <c r="AI79" s="85">
        <f t="shared" si="146"/>
        <v>77064.675105550763</v>
      </c>
      <c r="AJ79" s="85">
        <f t="shared" si="146"/>
        <v>7101.7012954843258</v>
      </c>
      <c r="AK79" s="85">
        <f t="shared" si="146"/>
        <v>1346338.0808275368</v>
      </c>
      <c r="AL79" s="85">
        <f t="shared" si="146"/>
        <v>373268.27611383807</v>
      </c>
      <c r="AM79" s="85">
        <f t="shared" si="146"/>
        <v>1291816.5976604423</v>
      </c>
      <c r="AN79" s="85">
        <f t="shared" si="146"/>
        <v>956779.40307768586</v>
      </c>
      <c r="AO79" s="85">
        <f t="shared" si="146"/>
        <v>654367.41640293447</v>
      </c>
      <c r="AP79" s="85">
        <f t="shared" si="146"/>
        <v>198193.07503322241</v>
      </c>
      <c r="AQ79" s="85">
        <f t="shared" si="146"/>
        <v>712581.53574282955</v>
      </c>
      <c r="AR79" s="85">
        <f t="shared" si="146"/>
        <v>1216705.680673629</v>
      </c>
      <c r="AS79" s="85">
        <f t="shared" si="146"/>
        <v>40009.111771440272</v>
      </c>
      <c r="AT79" s="85">
        <f t="shared" si="146"/>
        <v>146833.33377246917</v>
      </c>
      <c r="AU79" s="85">
        <f t="shared" si="146"/>
        <v>638850.07470279443</v>
      </c>
      <c r="AV79" s="85">
        <f t="shared" si="146"/>
        <v>17.243660928527429</v>
      </c>
      <c r="AW79" s="85">
        <f t="shared" si="146"/>
        <v>8962.8693542674791</v>
      </c>
      <c r="AX79" s="85">
        <f t="shared" si="146"/>
        <v>10218.993637536563</v>
      </c>
      <c r="AY79" s="86">
        <f t="shared" si="146"/>
        <v>31411.058893719532</v>
      </c>
      <c r="AZ79" s="86">
        <f t="shared" si="146"/>
        <v>330945.49350205995</v>
      </c>
      <c r="BA79" s="86">
        <f t="shared" si="146"/>
        <v>10903.763688012017</v>
      </c>
      <c r="BB79" s="86">
        <f t="shared" si="146"/>
        <v>187657.36714582931</v>
      </c>
      <c r="BC79" s="86">
        <f t="shared" si="146"/>
        <v>397604.77904299228</v>
      </c>
      <c r="BD79" s="86">
        <f t="shared" si="146"/>
        <v>40229.723824209148</v>
      </c>
      <c r="BE79" s="231">
        <f t="shared" ref="BE79" si="147">BE77^2</f>
        <v>29464.976207853349</v>
      </c>
    </row>
    <row r="80" spans="1:57" ht="16" thickBot="1" x14ac:dyDescent="0.25">
      <c r="A80" s="5"/>
    </row>
    <row r="81" spans="1:57" x14ac:dyDescent="0.2">
      <c r="A81" s="87" t="s">
        <v>37</v>
      </c>
      <c r="B81" s="79"/>
      <c r="C81" s="79"/>
      <c r="D81" s="79"/>
      <c r="E81" s="79"/>
      <c r="F81" s="79"/>
      <c r="G81" s="79"/>
      <c r="H81" s="79"/>
      <c r="I81" s="82">
        <f>SUM($I$77:I77)/COUNT($I$77:I77)</f>
        <v>306</v>
      </c>
      <c r="J81" s="82">
        <f>SUM($I$77:J77)/COUNT($I$77:J77)</f>
        <v>156.5</v>
      </c>
      <c r="K81" s="82">
        <f>SUM($I$77:K77)/COUNT($I$77:K77)</f>
        <v>141</v>
      </c>
      <c r="L81" s="82">
        <f>SUM($I$77:L77)/COUNT($I$77:L77)</f>
        <v>170.25000000000006</v>
      </c>
      <c r="M81" s="82">
        <f>SUM($I$77:M77)/COUNT($I$77:M77)</f>
        <v>98.200000000000045</v>
      </c>
      <c r="N81" s="82">
        <f>SUM($I$77:N77)/COUNT($I$77:N77)</f>
        <v>41.500000000000036</v>
      </c>
      <c r="O81" s="82">
        <f>SUM($I$77:O77)/COUNT($I$77:O77)</f>
        <v>62.428571428571445</v>
      </c>
      <c r="P81" s="82">
        <f>SUM($I$77:P77)/COUNT($I$77:P77)</f>
        <v>73.894836956521729</v>
      </c>
      <c r="Q81" s="82">
        <f>SUM($I$77:Q77)/COUNT($I$77:Q77)</f>
        <v>2.5631894122383554</v>
      </c>
      <c r="R81" s="82">
        <f>SUM($I$77:R77)/COUNT($I$77:R77)</f>
        <v>-3.4909284420289737</v>
      </c>
      <c r="S81" s="82">
        <f>SUM($I$77:S77)/COUNT($I$77:S77)</f>
        <v>17.625391139657463</v>
      </c>
      <c r="T81" s="82">
        <f>SUM($I$77:T77)/COUNT($I$77:T77)</f>
        <v>10.608355978260903</v>
      </c>
      <c r="U81" s="82">
        <f>SUM($I$77:U77)/COUNT($I$77:U77)</f>
        <v>0.17819816053515927</v>
      </c>
      <c r="V81" s="82">
        <f>SUM($I$77:V77)/COUNT($I$77:V77)</f>
        <v>7.8011840062112174</v>
      </c>
      <c r="W81" s="82">
        <f>SUM($I$77:W77)/COUNT($I$77:W77)</f>
        <v>17.097277193818368</v>
      </c>
      <c r="X81" s="82">
        <f>SUM($I$77:X77)/COUNT($I$77:X77)</f>
        <v>-4.0548876820055426</v>
      </c>
      <c r="Y81" s="82">
        <f>SUM($I$77:Y77)/COUNT($I$77:Y77)</f>
        <v>7.5760412084049111</v>
      </c>
      <c r="Z81" s="82">
        <f>SUM($I$77:Z77)/COUNT($I$77:Z77)</f>
        <v>8.5366128768942726</v>
      </c>
      <c r="AA81" s="82">
        <f>SUM($I$77:AA77)/COUNT($I$77:AA77)</f>
        <v>24.063543996946393</v>
      </c>
      <c r="AB81" s="82">
        <f>SUM($I$77:AB77)/COUNT($I$77:AB77)</f>
        <v>28.489646445686059</v>
      </c>
      <c r="AC81" s="82">
        <f>SUM($I$77:AC77)/COUNT($I$77:AC77)</f>
        <v>32.628163484219414</v>
      </c>
      <c r="AD81" s="82">
        <f>SUM($I$77:AD77)/COUNT($I$77:AD77)</f>
        <v>32.890222318106716</v>
      </c>
      <c r="AE81" s="82">
        <f>SUM($I$77:AE77)/COUNT($I$77:AE77)</f>
        <v>15.389513489819123</v>
      </c>
      <c r="AF81" s="82">
        <f>SUM($I$77:AF77)/COUNT($I$77:AF77)</f>
        <v>10.991362870055491</v>
      </c>
      <c r="AG81" s="82">
        <f>SUM($I$77:AG77)/COUNT($I$77:AG77)</f>
        <v>12.136404297871326</v>
      </c>
      <c r="AH81" s="82">
        <f>SUM($I$77:AH77)/COUNT($I$77:AH77)</f>
        <v>10.570915862449034</v>
      </c>
      <c r="AI81" s="82">
        <f>SUM($I$77:AI77)/COUNT($I$77:AI77)</f>
        <v>-0.10227548433388839</v>
      </c>
      <c r="AJ81" s="82">
        <f>SUM($I$77:AJ77)/COUNT($I$77:AJ77)</f>
        <v>2.9110769421943701</v>
      </c>
      <c r="AK81" s="82">
        <f>SUM($I$77:AK77)/COUNT($I$77:AK77)</f>
        <v>42.821663760527073</v>
      </c>
      <c r="AL81" s="82">
        <f>SUM($I$77:AL77)/COUNT($I$77:AL77)</f>
        <v>61.759503398737721</v>
      </c>
      <c r="AM81" s="82">
        <f>SUM($I$77:AM77)/COUNT($I$77:AM77)</f>
        <v>96.431167816344782</v>
      </c>
      <c r="AN81" s="82">
        <f>SUM($I$77:AN77)/COUNT($I$77:AN77)</f>
        <v>123.98491295988018</v>
      </c>
      <c r="AO81" s="82">
        <f>SUM($I$77:AO77)/COUNT($I$77:AO77)</f>
        <v>144.7408185355138</v>
      </c>
      <c r="AP81" s="82">
        <f>SUM($I$77:AP77)/COUNT($I$77:AP77)</f>
        <v>153.57752411674451</v>
      </c>
      <c r="AQ81" s="82">
        <f>SUM($I$77:AQ77)/COUNT($I$77:AQ77)</f>
        <v>173.30803620000324</v>
      </c>
      <c r="AR81" s="82">
        <f>SUM($I$77:AR77)/COUNT($I$77:AR77)</f>
        <v>199.13403034344736</v>
      </c>
      <c r="AS81" s="82">
        <f>SUM($I$77:AS77)/COUNT($I$77:AS77)</f>
        <v>188.34600849277331</v>
      </c>
      <c r="AT81" s="82">
        <f>SUM($I$77:AT77)/COUNT($I$77:AT77)</f>
        <v>193.4734392946275</v>
      </c>
      <c r="AU81" s="82">
        <f>SUM($I$77:AU77)/COUNT($I$77:AU77)</f>
        <v>209.00696581437711</v>
      </c>
      <c r="AV81" s="82">
        <f>SUM($I$77:AV77)/COUNT($I$77:AV77)</f>
        <v>203.88560538718792</v>
      </c>
      <c r="AW81" s="82">
        <f>SUM($I$77:AW77)/COUNT($I$77:AW77)</f>
        <v>201.22186944749799</v>
      </c>
      <c r="AX81" s="82">
        <f>SUM($I$77:AX77)/COUNT($I$77:AX77)</f>
        <v>194.02399069477102</v>
      </c>
      <c r="AY81" s="83">
        <f>SUM($AY$77:AY77)/COUNT($AY$77:AY77)</f>
        <v>177.23165319355212</v>
      </c>
      <c r="AZ81" s="83">
        <f>SUM($AY$77:AZ77)/COUNT($AY$77:AZ77)</f>
        <v>-199.02348465173009</v>
      </c>
      <c r="BA81" s="83">
        <f>SUM($AY$77:BA77)/COUNT($AY$77:BA77)</f>
        <v>-97.875293657835456</v>
      </c>
      <c r="BB81" s="83">
        <f>SUM($AY$77:BB77)/COUNT($AY$77:BB77)</f>
        <v>-181.70506417060324</v>
      </c>
      <c r="BC81" s="83">
        <f>SUM($AY$77:BC77)/COUNT($AY$77:BC77)</f>
        <v>-19.252231265088447</v>
      </c>
      <c r="BD81" s="83">
        <f>SUM($AY$77:BD77)/COUNT($AY$77:BD77)</f>
        <v>-49.472440611106471</v>
      </c>
      <c r="BE81" s="228">
        <f>SUM($AY$77:BE77)/COUNT($AY$77:BE77)</f>
        <v>-17.882998824951137</v>
      </c>
    </row>
    <row r="82" spans="1:57" x14ac:dyDescent="0.2">
      <c r="A82" s="88" t="s">
        <v>38</v>
      </c>
      <c r="B82" s="73"/>
      <c r="C82" s="73"/>
      <c r="D82" s="73"/>
      <c r="E82" s="73"/>
      <c r="F82" s="73"/>
      <c r="G82" s="73"/>
      <c r="H82" s="73"/>
      <c r="I82" s="84">
        <f>SUM($I$78:I78)/COUNT($I$78:I78)</f>
        <v>306</v>
      </c>
      <c r="J82" s="84">
        <f>SUM($I$78:J78)/COUNT($I$78:J78)</f>
        <v>156.5</v>
      </c>
      <c r="K82" s="84">
        <f>SUM($I$78:K78)/COUNT($I$78:K78)</f>
        <v>141</v>
      </c>
      <c r="L82" s="84">
        <f>SUM($I$78:L78)/COUNT($I$78:L78)</f>
        <v>170.25000000000006</v>
      </c>
      <c r="M82" s="84">
        <f>SUM($I$78:M78)/COUNT($I$78:M78)</f>
        <v>174.20000000000005</v>
      </c>
      <c r="N82" s="84">
        <f>SUM($I$78:N78)/COUNT($I$78:N78)</f>
        <v>185.50000000000003</v>
      </c>
      <c r="O82" s="84">
        <f>SUM($I$78:O78)/COUNT($I$78:O78)</f>
        <v>185.85714285714286</v>
      </c>
      <c r="P82" s="84">
        <f>SUM($I$78:P78)/COUNT($I$78:P78)</f>
        <v>181.89483695652171</v>
      </c>
      <c r="Q82" s="84">
        <f>SUM($I$78:Q78)/COUNT($I$78:Q78)</f>
        <v>224.80540962157804</v>
      </c>
      <c r="R82" s="84">
        <f>SUM($I$78:R78)/COUNT($I$78:R78)</f>
        <v>208.12266757246371</v>
      </c>
      <c r="S82" s="84">
        <f>SUM($I$78:S78)/COUNT($I$78:S78)</f>
        <v>210.00138751646898</v>
      </c>
      <c r="T82" s="84">
        <f>SUM($I$78:T78)/COUNT($I$78:T78)</f>
        <v>198.04952445652165</v>
      </c>
      <c r="U82" s="84">
        <f>SUM($I$78:U78)/COUNT($I$78:U78)</f>
        <v>192.42907608695643</v>
      </c>
      <c r="V82" s="84">
        <f>SUM($I$78:V78)/COUNT($I$78:V78)</f>
        <v>186.31985636645956</v>
      </c>
      <c r="W82" s="84">
        <f>SUM($I$78:W78)/COUNT($I$78:W78)</f>
        <v>183.71470473005016</v>
      </c>
      <c r="X82" s="84">
        <f>SUM($I$78:X78)/COUNT($I$78:X78)</f>
        <v>192.3161207356323</v>
      </c>
      <c r="Y82" s="84">
        <f>SUM($I$78:Y78)/COUNT($I$78:Y78)</f>
        <v>192.39581383676995</v>
      </c>
      <c r="Z82" s="84">
        <f>SUM($I$78:Z78)/COUNT($I$78:Z78)</f>
        <v>183.08862035923903</v>
      </c>
      <c r="AA82" s="84">
        <f>SUM($I$78:AA78)/COUNT($I$78:AA78)</f>
        <v>189.42860371706249</v>
      </c>
      <c r="AB82" s="84">
        <f>SUM($I$78:AB78)/COUNT($I$78:AB78)</f>
        <v>185.58645317979637</v>
      </c>
      <c r="AC82" s="84">
        <f>SUM($I$78:AC78)/COUNT($I$78:AC78)</f>
        <v>182.2441698976578</v>
      </c>
      <c r="AD82" s="84">
        <f>SUM($I$78:AD78)/COUNT($I$78:AD78)</f>
        <v>175.70550116729791</v>
      </c>
      <c r="AE82" s="84">
        <f>SUM($I$78:AE78)/COUNT($I$78:AE78)</f>
        <v>184.13683071361137</v>
      </c>
      <c r="AF82" s="84">
        <f>SUM($I$78:AF78)/COUNT($I$78:AF78)</f>
        <v>180.22138365823207</v>
      </c>
      <c r="AG82" s="84">
        <f>SUM($I$78:AG78)/COUNT($I$78:AG78)</f>
        <v>174.59722425452085</v>
      </c>
      <c r="AH82" s="84">
        <f>SUM($I$78:AH78)/COUNT($I$78:AH78)</f>
        <v>168.98065005331267</v>
      </c>
      <c r="AI82" s="84">
        <f>SUM($I$78:AI78)/COUNT($I$78:AI78)</f>
        <v>173.00378340321552</v>
      </c>
      <c r="AJ82" s="84">
        <f>SUM($I$78:AJ78)/COUNT($I$78:AJ78)</f>
        <v>169.83477658375986</v>
      </c>
      <c r="AK82" s="84">
        <f>SUM($I$78:AK78)/COUNT($I$78:AK78)</f>
        <v>203.98937375927997</v>
      </c>
      <c r="AL82" s="84">
        <f>SUM($I$78:AL78)/COUNT($I$78:AL78)</f>
        <v>217.55495639753221</v>
      </c>
      <c r="AM82" s="84">
        <f>SUM($I$78:AM78)/COUNT($I$78:AM78)</f>
        <v>247.20096104098459</v>
      </c>
      <c r="AN82" s="84">
        <f>SUM($I$78:AN78)/COUNT($I$78:AN78)</f>
        <v>270.04315014625001</v>
      </c>
      <c r="AO82" s="84">
        <f>SUM($I$78:AO78)/COUNT($I$78:AO78)</f>
        <v>286.37304853441782</v>
      </c>
      <c r="AP82" s="84">
        <f>SUM($I$78:AP78)/COUNT($I$78:AP78)</f>
        <v>291.04410029215137</v>
      </c>
      <c r="AQ82" s="84">
        <f>SUM($I$78:AQ78)/COUNT($I$78:AQ78)</f>
        <v>306.84699591325563</v>
      </c>
      <c r="AR82" s="84">
        <f>SUM($I$78:AR78)/COUNT($I$78:AR78)</f>
        <v>328.96357450910938</v>
      </c>
      <c r="AS82" s="84">
        <f>SUM($I$78:AS78)/COUNT($I$78:AS78)</f>
        <v>325.47868812052519</v>
      </c>
      <c r="AT82" s="84">
        <f>SUM($I$78:AT78)/COUNT($I$78:AT78)</f>
        <v>326.99736419533326</v>
      </c>
      <c r="AU82" s="84">
        <f>SUM($I$78:AU78)/COUNT($I$78:AU78)</f>
        <v>339.10720033301351</v>
      </c>
      <c r="AV82" s="84">
        <f>SUM($I$78:AV78)/COUNT($I$78:AV78)</f>
        <v>330.73333404285842</v>
      </c>
      <c r="AW82" s="84">
        <f>SUM($I$78:AW78)/COUNT($I$78:AW78)</f>
        <v>324.97575106278629</v>
      </c>
      <c r="AX82" s="84">
        <f>SUM($I$78:AX78)/COUNT($I$78:AX78)</f>
        <v>319.64511504145889</v>
      </c>
      <c r="AY82" s="229">
        <f>SUM($AY$78:AY78)/COUNT($AY$78:AY78)</f>
        <v>177.23165319355212</v>
      </c>
      <c r="AZ82" s="229">
        <f>SUM($AY$78:AZ78)/COUNT($AY$78:AZ78)</f>
        <v>376.25513784528221</v>
      </c>
      <c r="BA82" s="229">
        <f>SUM($AY$78:BA78)/COUNT($AY$78:BA78)</f>
        <v>285.64378800683943</v>
      </c>
      <c r="BB82" s="229">
        <f>SUM($AY$78:BB78)/COUNT($AY$78:BB78)</f>
        <v>322.53143493235621</v>
      </c>
      <c r="BC82" s="229">
        <f>SUM($AY$78:BC78)/COUNT($AY$78:BC78)</f>
        <v>384.13696801727912</v>
      </c>
      <c r="BD82" s="229">
        <f>SUM($AY$78:BD78)/COUNT($AY$78:BD78)</f>
        <v>353.54305457126537</v>
      </c>
      <c r="BE82" s="230">
        <f>SUM($AY$78:BE78)/COUNT($AY$78:BE78)</f>
        <v>327.55885418851045</v>
      </c>
    </row>
    <row r="83" spans="1:57" x14ac:dyDescent="0.2">
      <c r="A83" s="88" t="s">
        <v>39</v>
      </c>
      <c r="B83" s="73"/>
      <c r="C83" s="73"/>
      <c r="D83" s="73"/>
      <c r="E83" s="73"/>
      <c r="F83" s="73"/>
      <c r="G83" s="73"/>
      <c r="H83" s="73"/>
      <c r="I83" s="84">
        <f>SUM($I$79:I79)/COUNT($I$79:I79)</f>
        <v>93636</v>
      </c>
      <c r="J83" s="84">
        <f>SUM($I$79:J79)/COUNT($I$79:J79)</f>
        <v>46842.5</v>
      </c>
      <c r="K83" s="84">
        <f>SUM($I$79:K79)/COUNT($I$79:K79)</f>
        <v>35261.666666666664</v>
      </c>
      <c r="L83" s="84">
        <f>SUM($I$79:L79)/COUNT($I$79:L79)</f>
        <v>43087.250000000029</v>
      </c>
      <c r="M83" s="84">
        <f>SUM($I$79:M79)/COUNT($I$79:M79)</f>
        <v>41689.800000000025</v>
      </c>
      <c r="N83" s="84">
        <f>SUM($I$79:N79)/COUNT($I$79:N79)</f>
        <v>44502.166666666686</v>
      </c>
      <c r="O83" s="84">
        <f>SUM($I$79:O79)/COUNT($I$79:O79)</f>
        <v>43193.857142857152</v>
      </c>
      <c r="P83" s="84">
        <f>SUM($I$79:P79)/COUNT($I$79:P79)</f>
        <v>40765.237930647447</v>
      </c>
      <c r="Q83" s="84">
        <f>SUM($I$79:Q79)/COUNT($I$79:Q79)</f>
        <v>72094.237917077087</v>
      </c>
      <c r="R83" s="84">
        <f>SUM($I$79:R79)/COUNT($I$79:R79)</f>
        <v>65220.95884773026</v>
      </c>
      <c r="S83" s="84">
        <f>SUM($I$79:S79)/COUNT($I$79:S79)</f>
        <v>64050.345999896781</v>
      </c>
      <c r="T83" s="84">
        <f>SUM($I$79:T79)/COUNT($I$79:T79)</f>
        <v>59082.214445062164</v>
      </c>
      <c r="U83" s="84">
        <f>SUM($I$79:U79)/COUNT($I$79:U79)</f>
        <v>55739.038270740086</v>
      </c>
      <c r="V83" s="84">
        <f>SUM($I$79:V79)/COUNT($I$79:V79)</f>
        <v>52573.936251401508</v>
      </c>
      <c r="W83" s="84">
        <f>SUM($I$79:W79)/COUNT($I$79:W79)</f>
        <v>50514.365694715627</v>
      </c>
      <c r="X83" s="84">
        <f>SUM($I$79:X79)/COUNT($I$79:X79)</f>
        <v>53810.824054943041</v>
      </c>
      <c r="Y83" s="84">
        <f>SUM($I$79:Y79)/COUNT($I$79:Y79)</f>
        <v>52851.859042597287</v>
      </c>
      <c r="Z83" s="84">
        <f>SUM($I$79:Z79)/COUNT($I$79:Z79)</f>
        <v>49949.996564086199</v>
      </c>
      <c r="AA83" s="84">
        <f>SUM($I$79:AA79)/COUNT($I$79:AA79)</f>
        <v>52170.605847930477</v>
      </c>
      <c r="AB83" s="84">
        <f>SUM($I$79:AB79)/COUNT($I$79:AB79)</f>
        <v>50195.851342773865</v>
      </c>
      <c r="AC83" s="84">
        <f>SUM($I$79:AC79)/COUNT($I$79:AC79)</f>
        <v>48439.706744749637</v>
      </c>
      <c r="AD83" s="84">
        <f>SUM($I$79:AD79)/COUNT($I$79:AD79)</f>
        <v>46304.904511084838</v>
      </c>
      <c r="AE83" s="84">
        <f>SUM($I$79:AE79)/COUNT($I$79:AE79)</f>
        <v>50231.79733919743</v>
      </c>
      <c r="AF83" s="84">
        <f>SUM($I$79:AF79)/COUNT($I$79:AF79)</f>
        <v>48477.552693350932</v>
      </c>
      <c r="AG83" s="84">
        <f>SUM($I$79:AG79)/COUNT($I$79:AG79)</f>
        <v>46601.232116380641</v>
      </c>
      <c r="AH83" s="84">
        <f>SUM($I$79:AH79)/COUNT($I$79:AH79)</f>
        <v>44840.262927725511</v>
      </c>
      <c r="AI83" s="84">
        <f>SUM($I$79:AI79)/COUNT($I$79:AI79)</f>
        <v>46033.759675052373</v>
      </c>
      <c r="AJ83" s="84">
        <f>SUM($I$79:AJ79)/COUNT($I$79:AJ79)</f>
        <v>44643.329018639226</v>
      </c>
      <c r="AK83" s="84">
        <f>SUM($I$79:AK79)/COUNT($I$79:AK79)</f>
        <v>89529.354943083963</v>
      </c>
      <c r="AL83" s="84">
        <f>SUM($I$79:AL79)/COUNT($I$79:AL79)</f>
        <v>98987.318982109107</v>
      </c>
      <c r="AM83" s="84">
        <f>SUM($I$79:AM79)/COUNT($I$79:AM79)</f>
        <v>137465.68281044243</v>
      </c>
      <c r="AN83" s="84">
        <f>SUM($I$79:AN79)/COUNT($I$79:AN79)</f>
        <v>163069.2365687938</v>
      </c>
      <c r="AO83" s="84">
        <f>SUM($I$79:AO79)/COUNT($I$79:AO79)</f>
        <v>177957.06020013138</v>
      </c>
      <c r="AP83" s="84">
        <f>SUM($I$79:AP79)/COUNT($I$79:AP79)</f>
        <v>178552.23710698701</v>
      </c>
      <c r="AQ83" s="84">
        <f>SUM($I$79:AQ79)/COUNT($I$79:AQ79)</f>
        <v>193810.21706801109</v>
      </c>
      <c r="AR83" s="84">
        <f>SUM($I$79:AR79)/COUNT($I$79:AR79)</f>
        <v>222223.97994594491</v>
      </c>
      <c r="AS83" s="84">
        <f>SUM($I$79:AS79)/COUNT($I$79:AS79)</f>
        <v>217299.25377906641</v>
      </c>
      <c r="AT83" s="84">
        <f>SUM($I$79:AT79)/COUNT($I$79:AT79)</f>
        <v>215444.88746310331</v>
      </c>
      <c r="AU83" s="84">
        <f>SUM($I$79:AU79)/COUNT($I$79:AU79)</f>
        <v>226301.43072565951</v>
      </c>
      <c r="AV83" s="84">
        <f>SUM($I$79:AV79)/COUNT($I$79:AV79)</f>
        <v>220644.32604904124</v>
      </c>
      <c r="AW83" s="84">
        <f>SUM($I$79:AW79)/COUNT($I$79:AW79)</f>
        <v>215481.3636906321</v>
      </c>
      <c r="AX83" s="84">
        <f>SUM($I$79:AX79)/COUNT($I$79:AX79)</f>
        <v>210594.16440365362</v>
      </c>
      <c r="AY83" s="229">
        <f>SUM($AY$79:AY79)/COUNT($AY$79:AY79)</f>
        <v>31411.058893719532</v>
      </c>
      <c r="AZ83" s="229">
        <f>SUM($AY$79:AZ79)/COUNT($AY$79:AZ79)</f>
        <v>181178.27619788973</v>
      </c>
      <c r="BA83" s="229">
        <f>SUM($AY$79:BA79)/COUNT($AY$79:BA79)</f>
        <v>124420.10536126384</v>
      </c>
      <c r="BB83" s="229">
        <f>SUM($AY$79:BB79)/COUNT($AY$79:BB79)</f>
        <v>140229.4208074052</v>
      </c>
      <c r="BC83" s="229">
        <f>SUM($AY$79:BC79)/COUNT($AY$79:BC79)</f>
        <v>191704.49245452261</v>
      </c>
      <c r="BD83" s="229">
        <f>SUM($AY$79:BD79)/COUNT($AY$79:BD79)</f>
        <v>166458.6976828037</v>
      </c>
      <c r="BE83" s="230">
        <f>SUM($AY$79:BE79)/COUNT($AY$79:BE79)</f>
        <v>146888.16604352507</v>
      </c>
    </row>
    <row r="84" spans="1:57" ht="16" thickBot="1" x14ac:dyDescent="0.25">
      <c r="A84" s="89" t="s">
        <v>40</v>
      </c>
      <c r="B84" s="76"/>
      <c r="C84" s="76"/>
      <c r="D84" s="76"/>
      <c r="E84" s="76"/>
      <c r="F84" s="76"/>
      <c r="G84" s="76"/>
      <c r="H84" s="76"/>
      <c r="I84" s="85">
        <f>SQRT(I83)</f>
        <v>306</v>
      </c>
      <c r="J84" s="85">
        <f t="shared" ref="J84:BD84" si="148">SQRT(J83)</f>
        <v>216.431282396977</v>
      </c>
      <c r="K84" s="85">
        <f t="shared" si="148"/>
        <v>187.78090069723987</v>
      </c>
      <c r="L84" s="85">
        <f t="shared" si="148"/>
        <v>207.57468535445267</v>
      </c>
      <c r="M84" s="85">
        <f t="shared" si="148"/>
        <v>204.18080223174761</v>
      </c>
      <c r="N84" s="85">
        <f t="shared" si="148"/>
        <v>210.95536652729811</v>
      </c>
      <c r="O84" s="85">
        <f t="shared" si="148"/>
        <v>207.83131896530213</v>
      </c>
      <c r="P84" s="85">
        <f t="shared" si="148"/>
        <v>201.90403148686121</v>
      </c>
      <c r="Q84" s="85">
        <f t="shared" si="148"/>
        <v>268.50370186847908</v>
      </c>
      <c r="R84" s="85">
        <f t="shared" si="148"/>
        <v>255.38394398969223</v>
      </c>
      <c r="S84" s="85">
        <f t="shared" si="148"/>
        <v>253.08169827132261</v>
      </c>
      <c r="T84" s="85">
        <f t="shared" si="148"/>
        <v>243.06833287177119</v>
      </c>
      <c r="U84" s="85">
        <f t="shared" si="148"/>
        <v>236.09116516875443</v>
      </c>
      <c r="V84" s="85">
        <f t="shared" si="148"/>
        <v>229.29007011076931</v>
      </c>
      <c r="W84" s="85">
        <f t="shared" si="148"/>
        <v>224.7540115208528</v>
      </c>
      <c r="X84" s="85">
        <f t="shared" si="148"/>
        <v>231.97160182863556</v>
      </c>
      <c r="Y84" s="85">
        <f t="shared" si="148"/>
        <v>229.89532192412548</v>
      </c>
      <c r="Z84" s="85">
        <f t="shared" si="148"/>
        <v>223.49495869948879</v>
      </c>
      <c r="AA84" s="85">
        <f t="shared" si="148"/>
        <v>228.40885676332798</v>
      </c>
      <c r="AB84" s="85">
        <f t="shared" si="148"/>
        <v>224.04430665110388</v>
      </c>
      <c r="AC84" s="85">
        <f t="shared" si="148"/>
        <v>220.09022410082108</v>
      </c>
      <c r="AD84" s="85">
        <f t="shared" si="148"/>
        <v>215.18574420970558</v>
      </c>
      <c r="AE84" s="85">
        <f t="shared" si="148"/>
        <v>224.12451302612445</v>
      </c>
      <c r="AF84" s="85">
        <f t="shared" si="148"/>
        <v>220.17618557271567</v>
      </c>
      <c r="AG84" s="85">
        <f t="shared" si="148"/>
        <v>215.87318526482312</v>
      </c>
      <c r="AH84" s="85">
        <f t="shared" si="148"/>
        <v>211.75519575142781</v>
      </c>
      <c r="AI84" s="85">
        <f t="shared" si="148"/>
        <v>214.55479410875995</v>
      </c>
      <c r="AJ84" s="85">
        <f t="shared" si="148"/>
        <v>211.28968034108817</v>
      </c>
      <c r="AK84" s="85">
        <f t="shared" si="148"/>
        <v>299.21456338735248</v>
      </c>
      <c r="AL84" s="85">
        <f t="shared" si="148"/>
        <v>314.62250234544433</v>
      </c>
      <c r="AM84" s="85">
        <f t="shared" si="148"/>
        <v>370.76364817824634</v>
      </c>
      <c r="AN84" s="85">
        <f t="shared" si="148"/>
        <v>403.81832123963096</v>
      </c>
      <c r="AO84" s="85">
        <f t="shared" si="148"/>
        <v>421.84957058189758</v>
      </c>
      <c r="AP84" s="85">
        <f t="shared" si="148"/>
        <v>422.55441910715717</v>
      </c>
      <c r="AQ84" s="85">
        <f t="shared" si="148"/>
        <v>440.2388182203054</v>
      </c>
      <c r="AR84" s="85">
        <f t="shared" si="148"/>
        <v>471.40638513489074</v>
      </c>
      <c r="AS84" s="85">
        <f t="shared" si="148"/>
        <v>466.1536804306777</v>
      </c>
      <c r="AT84" s="85">
        <f t="shared" si="148"/>
        <v>464.16041134838645</v>
      </c>
      <c r="AU84" s="85">
        <f t="shared" si="148"/>
        <v>475.7114994675444</v>
      </c>
      <c r="AV84" s="85">
        <f t="shared" si="148"/>
        <v>469.72792768691244</v>
      </c>
      <c r="AW84" s="85">
        <f t="shared" si="148"/>
        <v>464.19970238102491</v>
      </c>
      <c r="AX84" s="85">
        <f t="shared" si="148"/>
        <v>458.90539809818495</v>
      </c>
      <c r="AY84" s="86">
        <f t="shared" si="148"/>
        <v>177.23165319355212</v>
      </c>
      <c r="AZ84" s="86">
        <f t="shared" si="148"/>
        <v>425.65041547952205</v>
      </c>
      <c r="BA84" s="86">
        <f t="shared" si="148"/>
        <v>352.73234238054192</v>
      </c>
      <c r="BB84" s="86">
        <f t="shared" si="148"/>
        <v>374.47218963149345</v>
      </c>
      <c r="BC84" s="86">
        <f t="shared" si="148"/>
        <v>437.84071584826671</v>
      </c>
      <c r="BD84" s="86">
        <f t="shared" si="148"/>
        <v>407.99350201051448</v>
      </c>
      <c r="BE84" s="231">
        <f t="shared" ref="BE84" si="149">SQRT(BE83)</f>
        <v>383.25991969357437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E1D9-CEA4-BC47-B2DE-D0B72BF4D2A6}">
  <sheetPr>
    <tabColor theme="7" tint="0.59999389629810485"/>
  </sheetPr>
  <dimension ref="A1:BG64"/>
  <sheetViews>
    <sheetView zoomScale="80" zoomScaleNormal="80" workbookViewId="0">
      <pane ySplit="1" topLeftCell="A2" activePane="bottomLeft" state="frozen"/>
      <selection pane="bottomLeft" activeCell="R14" sqref="R14"/>
    </sheetView>
  </sheetViews>
  <sheetFormatPr baseColWidth="10" defaultRowHeight="15" x14ac:dyDescent="0.2"/>
  <cols>
    <col min="1" max="1" width="10.33203125" customWidth="1"/>
    <col min="2" max="2" width="32" customWidth="1"/>
    <col min="9" max="9" width="12.6640625" bestFit="1" customWidth="1"/>
    <col min="10" max="11" width="13.83203125" bestFit="1" customWidth="1"/>
    <col min="12" max="12" width="13.6640625" bestFit="1" customWidth="1"/>
    <col min="13" max="17" width="13.83203125" bestFit="1" customWidth="1"/>
    <col min="18" max="18" width="14.83203125" bestFit="1" customWidth="1"/>
    <col min="19" max="19" width="13.6640625" bestFit="1" customWidth="1"/>
    <col min="20" max="20" width="14.83203125" bestFit="1" customWidth="1"/>
    <col min="21" max="24" width="13.83203125" bestFit="1" customWidth="1"/>
    <col min="25" max="25" width="14.83203125" bestFit="1" customWidth="1"/>
    <col min="26" max="26" width="13.83203125" bestFit="1" customWidth="1"/>
    <col min="27" max="27" width="13.6640625" bestFit="1" customWidth="1"/>
    <col min="28" max="28" width="13.83203125" bestFit="1" customWidth="1"/>
    <col min="29" max="30" width="13.6640625" bestFit="1" customWidth="1"/>
    <col min="31" max="31" width="13.83203125" bestFit="1" customWidth="1"/>
    <col min="32" max="32" width="14.83203125" bestFit="1" customWidth="1"/>
    <col min="33" max="35" width="13.6640625" bestFit="1" customWidth="1"/>
    <col min="36" max="37" width="13.83203125" bestFit="1" customWidth="1"/>
    <col min="38" max="38" width="15.83203125" bestFit="1" customWidth="1"/>
    <col min="39" max="40" width="14.83203125" bestFit="1" customWidth="1"/>
    <col min="41" max="43" width="14.6640625" bestFit="1" customWidth="1"/>
    <col min="44" max="44" width="14.83203125" bestFit="1" customWidth="1"/>
    <col min="45" max="45" width="14.6640625" bestFit="1" customWidth="1"/>
    <col min="46" max="46" width="14.83203125" bestFit="1" customWidth="1"/>
    <col min="47" max="47" width="14.6640625" bestFit="1" customWidth="1"/>
    <col min="48" max="48" width="14.83203125" bestFit="1" customWidth="1"/>
    <col min="49" max="51" width="14.6640625" bestFit="1" customWidth="1"/>
    <col min="52" max="52" width="11.5" bestFit="1" customWidth="1"/>
    <col min="53" max="53" width="13.83203125" bestFit="1" customWidth="1"/>
    <col min="54" max="54" width="12.6640625" bestFit="1" customWidth="1"/>
    <col min="55" max="56" width="14.83203125" bestFit="1" customWidth="1"/>
    <col min="57" max="58" width="14.6640625" bestFit="1" customWidth="1"/>
  </cols>
  <sheetData>
    <row r="1" spans="1:59" ht="16" x14ac:dyDescent="0.2">
      <c r="A1" s="4"/>
      <c r="B1" s="167" t="s">
        <v>1</v>
      </c>
      <c r="C1" s="165">
        <f>'S3-Seasonal Average'!B1</f>
        <v>45778</v>
      </c>
      <c r="D1" s="163">
        <f>'S3-Seasonal Average'!C1</f>
        <v>45779</v>
      </c>
      <c r="E1" s="163">
        <f>'S3-Seasonal Average'!D1</f>
        <v>45780</v>
      </c>
      <c r="F1" s="163">
        <f>'S3-Seasonal Average'!E1</f>
        <v>45781</v>
      </c>
      <c r="G1" s="163">
        <f>'S3-Seasonal Average'!F1</f>
        <v>45782</v>
      </c>
      <c r="H1" s="163">
        <f>'S3-Seasonal Average'!G1</f>
        <v>45783</v>
      </c>
      <c r="I1" s="163">
        <f>'S3-Seasonal Average'!H1</f>
        <v>45784</v>
      </c>
      <c r="J1" s="163">
        <f>'S3-Seasonal Average'!I1</f>
        <v>45785</v>
      </c>
      <c r="K1" s="163">
        <f>'S3-Seasonal Average'!J1</f>
        <v>45786</v>
      </c>
      <c r="L1" s="163">
        <f>'S3-Seasonal Average'!K1</f>
        <v>45787</v>
      </c>
      <c r="M1" s="163">
        <f>'S3-Seasonal Average'!L1</f>
        <v>45788</v>
      </c>
      <c r="N1" s="163">
        <f>'S3-Seasonal Average'!M1</f>
        <v>45789</v>
      </c>
      <c r="O1" s="163">
        <f>'S3-Seasonal Average'!N1</f>
        <v>45790</v>
      </c>
      <c r="P1" s="163">
        <f>'S3-Seasonal Average'!O1</f>
        <v>45791</v>
      </c>
      <c r="Q1" s="163">
        <f>'S3-Seasonal Average'!P1</f>
        <v>45792</v>
      </c>
      <c r="R1" s="163">
        <f>'S3-Seasonal Average'!Q1</f>
        <v>45793</v>
      </c>
      <c r="S1" s="163">
        <f>'S3-Seasonal Average'!R1</f>
        <v>45794</v>
      </c>
      <c r="T1" s="163">
        <f>'S3-Seasonal Average'!S1</f>
        <v>45795</v>
      </c>
      <c r="U1" s="163">
        <f>'S3-Seasonal Average'!T1</f>
        <v>45796</v>
      </c>
      <c r="V1" s="163">
        <f>'S3-Seasonal Average'!U1</f>
        <v>45797</v>
      </c>
      <c r="W1" s="163">
        <f>'S3-Seasonal Average'!V1</f>
        <v>45798</v>
      </c>
      <c r="X1" s="163">
        <f>'S3-Seasonal Average'!W1</f>
        <v>45799</v>
      </c>
      <c r="Y1" s="163">
        <f>'S3-Seasonal Average'!X1</f>
        <v>45800</v>
      </c>
      <c r="Z1" s="163">
        <f>'S3-Seasonal Average'!Y1</f>
        <v>45801</v>
      </c>
      <c r="AA1" s="163">
        <f>'S3-Seasonal Average'!Z1</f>
        <v>45802</v>
      </c>
      <c r="AB1" s="163">
        <f>'S3-Seasonal Average'!AA1</f>
        <v>45803</v>
      </c>
      <c r="AC1" s="163">
        <f>'S3-Seasonal Average'!AB1</f>
        <v>45804</v>
      </c>
      <c r="AD1" s="163">
        <f>'S3-Seasonal Average'!AC1</f>
        <v>45805</v>
      </c>
      <c r="AE1" s="163">
        <f>'S3-Seasonal Average'!AD1</f>
        <v>45806</v>
      </c>
      <c r="AF1" s="163">
        <f>'S3-Seasonal Average'!AE1</f>
        <v>45807</v>
      </c>
      <c r="AG1" s="163">
        <f>'S3-Seasonal Average'!AF1</f>
        <v>45808</v>
      </c>
      <c r="AH1" s="163">
        <f>'S3-Seasonal Average'!AG1</f>
        <v>45809</v>
      </c>
      <c r="AI1" s="163">
        <f>'S3-Seasonal Average'!AH1</f>
        <v>45810</v>
      </c>
      <c r="AJ1" s="163">
        <f>'S3-Seasonal Average'!AI1</f>
        <v>45811</v>
      </c>
      <c r="AK1" s="163">
        <f>'S3-Seasonal Average'!AJ1</f>
        <v>45812</v>
      </c>
      <c r="AL1" s="163">
        <f>'S3-Seasonal Average'!AK1</f>
        <v>45813</v>
      </c>
      <c r="AM1" s="163">
        <f>'S3-Seasonal Average'!AL1</f>
        <v>45814</v>
      </c>
      <c r="AN1" s="163">
        <f>'S3-Seasonal Average'!AM1</f>
        <v>45815</v>
      </c>
      <c r="AO1" s="163">
        <f>'S3-Seasonal Average'!AN1</f>
        <v>45816</v>
      </c>
      <c r="AP1" s="163">
        <f>'S3-Seasonal Average'!AO1</f>
        <v>45817</v>
      </c>
      <c r="AQ1" s="163">
        <f>'S3-Seasonal Average'!AP1</f>
        <v>45818</v>
      </c>
      <c r="AR1" s="163">
        <f>'S3-Seasonal Average'!AQ1</f>
        <v>45819</v>
      </c>
      <c r="AS1" s="163">
        <f>'S3-Seasonal Average'!AR1</f>
        <v>45820</v>
      </c>
      <c r="AT1" s="163">
        <f>'S3-Seasonal Average'!AS1</f>
        <v>45821</v>
      </c>
      <c r="AU1" s="163">
        <f>'S3-Seasonal Average'!AT1</f>
        <v>45822</v>
      </c>
      <c r="AV1" s="163">
        <f>'S3-Seasonal Average'!AU1</f>
        <v>45823</v>
      </c>
      <c r="AW1" s="163">
        <f>'S3-Seasonal Average'!AV1</f>
        <v>45824</v>
      </c>
      <c r="AX1" s="163">
        <f>'S3-Seasonal Average'!AW1</f>
        <v>45825</v>
      </c>
      <c r="AY1" s="163">
        <f>'S3-Seasonal Average'!AX1</f>
        <v>45826</v>
      </c>
      <c r="AZ1" s="163">
        <f>'S3-Seasonal Average'!AY1</f>
        <v>45827</v>
      </c>
      <c r="BA1" s="163">
        <f>'S3-Seasonal Average'!AZ1</f>
        <v>45828</v>
      </c>
      <c r="BB1" s="163">
        <f>'S3-Seasonal Average'!BA1</f>
        <v>45829</v>
      </c>
      <c r="BC1" s="163">
        <f>'S3-Seasonal Average'!BB1</f>
        <v>45830</v>
      </c>
      <c r="BD1" s="163">
        <f>'S3-Seasonal Average'!BC1</f>
        <v>45831</v>
      </c>
      <c r="BE1" s="163">
        <f>'S3-Seasonal Average'!BD1</f>
        <v>45832</v>
      </c>
      <c r="BF1" s="164">
        <f>'S3-Seasonal Average'!BE1</f>
        <v>45833</v>
      </c>
      <c r="BG1" s="8"/>
    </row>
    <row r="2" spans="1:59" ht="17" thickBot="1" x14ac:dyDescent="0.25">
      <c r="A2" s="4"/>
      <c r="B2" s="57" t="s">
        <v>31</v>
      </c>
      <c r="C2" s="166">
        <f>'S3-Seasonal Average'!B2</f>
        <v>1576</v>
      </c>
      <c r="D2" s="133">
        <f>'S3-Seasonal Average'!C2</f>
        <v>2299</v>
      </c>
      <c r="E2" s="133">
        <f>'S3-Seasonal Average'!D2</f>
        <v>1878</v>
      </c>
      <c r="F2" s="133">
        <f>'S3-Seasonal Average'!E2</f>
        <v>1628</v>
      </c>
      <c r="G2" s="133">
        <f>'S3-Seasonal Average'!F2</f>
        <v>1555</v>
      </c>
      <c r="H2" s="133">
        <f>'S3-Seasonal Average'!G2</f>
        <v>1240</v>
      </c>
      <c r="I2" s="133">
        <f>'S3-Seasonal Average'!H2</f>
        <v>864</v>
      </c>
      <c r="J2" s="133">
        <f>'S3-Seasonal Average'!I2</f>
        <v>1882</v>
      </c>
      <c r="K2" s="133">
        <f>'S3-Seasonal Average'!J2</f>
        <v>2306</v>
      </c>
      <c r="L2" s="133">
        <f>'S3-Seasonal Average'!K2</f>
        <v>1988</v>
      </c>
      <c r="M2" s="133">
        <f>'S3-Seasonal Average'!L2</f>
        <v>1886</v>
      </c>
      <c r="N2" s="133">
        <f>'S3-Seasonal Average'!M2</f>
        <v>1365</v>
      </c>
      <c r="O2" s="133">
        <f>'S3-Seasonal Average'!N2</f>
        <v>998</v>
      </c>
      <c r="P2" s="133">
        <f>'S3-Seasonal Average'!O2</f>
        <v>1052</v>
      </c>
      <c r="Q2" s="133">
        <f>'S3-Seasonal Average'!P2</f>
        <v>1905</v>
      </c>
      <c r="R2" s="133">
        <f>'S3-Seasonal Average'!Q2</f>
        <v>1767</v>
      </c>
      <c r="S2" s="133">
        <f>'S3-Seasonal Average'!R2</f>
        <v>1911</v>
      </c>
      <c r="T2" s="133">
        <f>'S3-Seasonal Average'!S2</f>
        <v>2036</v>
      </c>
      <c r="U2" s="133">
        <f>'S3-Seasonal Average'!T2</f>
        <v>1428</v>
      </c>
      <c r="V2" s="133">
        <f>'S3-Seasonal Average'!U2</f>
        <v>1008</v>
      </c>
      <c r="W2" s="133">
        <f>'S3-Seasonal Average'!V2</f>
        <v>1082</v>
      </c>
      <c r="X2" s="133">
        <f>'S3-Seasonal Average'!W2</f>
        <v>1921</v>
      </c>
      <c r="Y2" s="133">
        <f>'S3-Seasonal Average'!X2</f>
        <v>1780</v>
      </c>
      <c r="Z2" s="133">
        <f>'S3-Seasonal Average'!Y2</f>
        <v>2071</v>
      </c>
      <c r="AA2" s="133">
        <f>'S3-Seasonal Average'!Z2</f>
        <v>1813</v>
      </c>
      <c r="AB2" s="133">
        <f>'S3-Seasonal Average'!AA2</f>
        <v>1780</v>
      </c>
      <c r="AC2" s="133">
        <f>'S3-Seasonal Average'!AB2</f>
        <v>1236</v>
      </c>
      <c r="AD2" s="133">
        <f>'S3-Seasonal Average'!AC2</f>
        <v>1082</v>
      </c>
      <c r="AE2" s="133">
        <f>'S3-Seasonal Average'!AD2</f>
        <v>1777</v>
      </c>
      <c r="AF2" s="133">
        <f>'S3-Seasonal Average'!AE2</f>
        <v>1766</v>
      </c>
      <c r="AG2" s="133">
        <f>'S3-Seasonal Average'!AF2</f>
        <v>1884</v>
      </c>
      <c r="AH2" s="133">
        <f>'S3-Seasonal Average'!AG2</f>
        <v>1780</v>
      </c>
      <c r="AI2" s="133">
        <f>'S3-Seasonal Average'!AH2</f>
        <v>1572</v>
      </c>
      <c r="AJ2" s="133">
        <f>'S3-Seasonal Average'!AI2</f>
        <v>948</v>
      </c>
      <c r="AK2" s="133">
        <f>'S3-Seasonal Average'!AJ2</f>
        <v>1085</v>
      </c>
      <c r="AL2" s="133">
        <f>'S3-Seasonal Average'!AK2</f>
        <v>2917</v>
      </c>
      <c r="AM2" s="133">
        <f>'S3-Seasonal Average'!AL2</f>
        <v>2801</v>
      </c>
      <c r="AN2" s="133">
        <f>'S3-Seasonal Average'!AM2</f>
        <v>3075</v>
      </c>
      <c r="AO2" s="133">
        <f>'S3-Seasonal Average'!AN2</f>
        <v>2737</v>
      </c>
      <c r="AP2" s="133">
        <f>'S3-Seasonal Average'!AO2</f>
        <v>2329</v>
      </c>
      <c r="AQ2" s="133">
        <f>'S3-Seasonal Average'!AP2</f>
        <v>1540</v>
      </c>
      <c r="AR2" s="133">
        <f>'S3-Seasonal Average'!AQ2</f>
        <v>1787</v>
      </c>
      <c r="AS2" s="133">
        <f>'S3-Seasonal Average'!AR2</f>
        <v>3102</v>
      </c>
      <c r="AT2" s="133">
        <f>'S3-Seasonal Average'!AS2</f>
        <v>2403</v>
      </c>
      <c r="AU2" s="133">
        <f>'S3-Seasonal Average'!AT2</f>
        <v>2927</v>
      </c>
      <c r="AV2" s="133">
        <f>'S3-Seasonal Average'!AU2</f>
        <v>3213</v>
      </c>
      <c r="AW2" s="133">
        <f>'S3-Seasonal Average'!AV2</f>
        <v>2194</v>
      </c>
      <c r="AX2" s="133">
        <f>'S3-Seasonal Average'!AW2</f>
        <v>1780</v>
      </c>
      <c r="AY2" s="133">
        <f>'S3-Seasonal Average'!AX2</f>
        <v>1408</v>
      </c>
      <c r="AZ2" s="133">
        <f>'S3-Seasonal Average'!AY2</f>
        <v>2920</v>
      </c>
      <c r="BA2" s="133">
        <f>'S3-Seasonal Average'!AZ2</f>
        <v>2647</v>
      </c>
      <c r="BB2" s="133">
        <f>'S3-Seasonal Average'!BA2</f>
        <v>3020</v>
      </c>
      <c r="BC2" s="133">
        <f>'S3-Seasonal Average'!BB2</f>
        <v>2338</v>
      </c>
      <c r="BD2" s="133">
        <f>'S3-Seasonal Average'!BC2</f>
        <v>2950</v>
      </c>
      <c r="BE2" s="133">
        <f>'S3-Seasonal Average'!BD2</f>
        <v>1601</v>
      </c>
      <c r="BF2" s="134">
        <f>'S3-Seasonal Average'!BE2</f>
        <v>1615</v>
      </c>
    </row>
    <row r="5" spans="1:59" ht="16" thickBot="1" x14ac:dyDescent="0.25"/>
    <row r="6" spans="1:59" ht="16" thickBot="1" x14ac:dyDescent="0.25">
      <c r="S6" s="190" t="s">
        <v>44</v>
      </c>
      <c r="T6" s="191" t="s">
        <v>62</v>
      </c>
      <c r="W6" s="190" t="s">
        <v>138</v>
      </c>
      <c r="X6" s="192" t="s">
        <v>139</v>
      </c>
      <c r="Y6" s="192" t="s">
        <v>140</v>
      </c>
      <c r="Z6" s="192" t="s">
        <v>141</v>
      </c>
      <c r="AA6" s="192" t="s">
        <v>142</v>
      </c>
      <c r="AB6" s="191" t="s">
        <v>143</v>
      </c>
      <c r="AD6" s="190" t="s">
        <v>144</v>
      </c>
      <c r="AE6" s="192" t="s">
        <v>145</v>
      </c>
      <c r="AF6" s="191" t="s">
        <v>137</v>
      </c>
    </row>
    <row r="7" spans="1:59" ht="16" thickBot="1" x14ac:dyDescent="0.25">
      <c r="S7" s="188">
        <v>0.3</v>
      </c>
      <c r="T7" s="189">
        <v>0.35</v>
      </c>
      <c r="W7" s="188">
        <f>AY49</f>
        <v>49.579890907774612</v>
      </c>
      <c r="X7" s="193">
        <f>BF49</f>
        <v>21.276286035381709</v>
      </c>
      <c r="Y7" s="193">
        <f>AY50</f>
        <v>249.75251966435891</v>
      </c>
      <c r="Z7" s="193">
        <f>BF50</f>
        <v>211.70191833203057</v>
      </c>
      <c r="AA7" s="193">
        <f>AY52</f>
        <v>340.53064871291082</v>
      </c>
      <c r="AB7" s="189">
        <f>BF52</f>
        <v>329.39595211028785</v>
      </c>
      <c r="AD7" s="188">
        <f>SUM(W7,Y7,AA7)</f>
        <v>639.8630592850443</v>
      </c>
      <c r="AE7" s="193">
        <f>SUM(X7,Z7,AB7)</f>
        <v>562.37415647770013</v>
      </c>
      <c r="AF7" s="189">
        <f>SUM(AD7,AE7)</f>
        <v>1202.2372157627444</v>
      </c>
    </row>
    <row r="9" spans="1:59" ht="16" thickBot="1" x14ac:dyDescent="0.25"/>
    <row r="10" spans="1:59" ht="16" thickBot="1" x14ac:dyDescent="0.25">
      <c r="S10" s="190" t="s">
        <v>44</v>
      </c>
      <c r="T10" s="192" t="s">
        <v>63</v>
      </c>
      <c r="U10" s="191" t="s">
        <v>62</v>
      </c>
      <c r="W10" s="190" t="s">
        <v>138</v>
      </c>
      <c r="X10" s="192" t="s">
        <v>139</v>
      </c>
      <c r="Y10" s="192" t="s">
        <v>140</v>
      </c>
      <c r="Z10" s="192" t="s">
        <v>141</v>
      </c>
      <c r="AA10" s="192" t="s">
        <v>142</v>
      </c>
      <c r="AB10" s="191" t="s">
        <v>143</v>
      </c>
      <c r="AD10" s="190" t="s">
        <v>144</v>
      </c>
      <c r="AE10" s="192" t="s">
        <v>145</v>
      </c>
      <c r="AF10" s="191" t="s">
        <v>137</v>
      </c>
    </row>
    <row r="11" spans="1:59" ht="16" thickBot="1" x14ac:dyDescent="0.25">
      <c r="S11" s="188">
        <v>0.5</v>
      </c>
      <c r="T11" s="193">
        <v>0.2</v>
      </c>
      <c r="U11" s="189">
        <v>0.6</v>
      </c>
      <c r="W11" s="188">
        <f>AY61</f>
        <v>-24.943683792848944</v>
      </c>
      <c r="X11" s="193">
        <f>BF61</f>
        <v>135.05106146576856</v>
      </c>
      <c r="Y11" s="193">
        <f>AY62</f>
        <v>256.28407123300178</v>
      </c>
      <c r="Z11" s="193">
        <f>BF62</f>
        <v>254.56757312362524</v>
      </c>
      <c r="AA11" s="193">
        <f>AY64</f>
        <v>338.25351384813428</v>
      </c>
      <c r="AB11" s="189">
        <f>BF64</f>
        <v>371.35202265744829</v>
      </c>
      <c r="AD11" s="188">
        <f>SUM(W11,Y11,AA11)</f>
        <v>569.59390128828704</v>
      </c>
      <c r="AE11" s="193">
        <f>SUM(X11,Z11,AB11)</f>
        <v>760.97065724684205</v>
      </c>
      <c r="AF11" s="189">
        <f>SUM(AD11,AE11)</f>
        <v>1330.564558535129</v>
      </c>
    </row>
    <row r="24" spans="1:58" ht="16" thickBot="1" x14ac:dyDescent="0.25"/>
    <row r="25" spans="1:58" ht="16" x14ac:dyDescent="0.2">
      <c r="A25" s="171"/>
      <c r="B25" s="168" t="s">
        <v>1</v>
      </c>
      <c r="C25" s="64">
        <f>C1</f>
        <v>45778</v>
      </c>
      <c r="D25" s="64">
        <f t="shared" ref="D25:BF25" si="0">D1</f>
        <v>45779</v>
      </c>
      <c r="E25" s="64">
        <f t="shared" si="0"/>
        <v>45780</v>
      </c>
      <c r="F25" s="64">
        <f t="shared" si="0"/>
        <v>45781</v>
      </c>
      <c r="G25" s="64">
        <f t="shared" si="0"/>
        <v>45782</v>
      </c>
      <c r="H25" s="64">
        <f t="shared" si="0"/>
        <v>45783</v>
      </c>
      <c r="I25" s="64">
        <f t="shared" si="0"/>
        <v>45784</v>
      </c>
      <c r="J25" s="64">
        <f t="shared" si="0"/>
        <v>45785</v>
      </c>
      <c r="K25" s="64">
        <f t="shared" si="0"/>
        <v>45786</v>
      </c>
      <c r="L25" s="64">
        <f t="shared" si="0"/>
        <v>45787</v>
      </c>
      <c r="M25" s="64">
        <f t="shared" si="0"/>
        <v>45788</v>
      </c>
      <c r="N25" s="64">
        <f t="shared" si="0"/>
        <v>45789</v>
      </c>
      <c r="O25" s="64">
        <f t="shared" si="0"/>
        <v>45790</v>
      </c>
      <c r="P25" s="64">
        <f t="shared" si="0"/>
        <v>45791</v>
      </c>
      <c r="Q25" s="64">
        <f t="shared" si="0"/>
        <v>45792</v>
      </c>
      <c r="R25" s="64">
        <f t="shared" si="0"/>
        <v>45793</v>
      </c>
      <c r="S25" s="64">
        <f t="shared" si="0"/>
        <v>45794</v>
      </c>
      <c r="T25" s="64">
        <f t="shared" si="0"/>
        <v>45795</v>
      </c>
      <c r="U25" s="64">
        <f t="shared" si="0"/>
        <v>45796</v>
      </c>
      <c r="V25" s="64">
        <f t="shared" si="0"/>
        <v>45797</v>
      </c>
      <c r="W25" s="64">
        <f t="shared" si="0"/>
        <v>45798</v>
      </c>
      <c r="X25" s="64">
        <f t="shared" si="0"/>
        <v>45799</v>
      </c>
      <c r="Y25" s="64">
        <f t="shared" si="0"/>
        <v>45800</v>
      </c>
      <c r="Z25" s="64">
        <f t="shared" si="0"/>
        <v>45801</v>
      </c>
      <c r="AA25" s="64">
        <f t="shared" si="0"/>
        <v>45802</v>
      </c>
      <c r="AB25" s="64">
        <f t="shared" si="0"/>
        <v>45803</v>
      </c>
      <c r="AC25" s="64">
        <f t="shared" si="0"/>
        <v>45804</v>
      </c>
      <c r="AD25" s="64">
        <f t="shared" si="0"/>
        <v>45805</v>
      </c>
      <c r="AE25" s="64">
        <f t="shared" si="0"/>
        <v>45806</v>
      </c>
      <c r="AF25" s="64">
        <f t="shared" si="0"/>
        <v>45807</v>
      </c>
      <c r="AG25" s="64">
        <f t="shared" si="0"/>
        <v>45808</v>
      </c>
      <c r="AH25" s="64">
        <f t="shared" si="0"/>
        <v>45809</v>
      </c>
      <c r="AI25" s="64">
        <f t="shared" si="0"/>
        <v>45810</v>
      </c>
      <c r="AJ25" s="64">
        <f t="shared" si="0"/>
        <v>45811</v>
      </c>
      <c r="AK25" s="64">
        <f t="shared" si="0"/>
        <v>45812</v>
      </c>
      <c r="AL25" s="64">
        <f t="shared" si="0"/>
        <v>45813</v>
      </c>
      <c r="AM25" s="64">
        <f t="shared" si="0"/>
        <v>45814</v>
      </c>
      <c r="AN25" s="64">
        <f t="shared" si="0"/>
        <v>45815</v>
      </c>
      <c r="AO25" s="64">
        <f t="shared" si="0"/>
        <v>45816</v>
      </c>
      <c r="AP25" s="64">
        <f t="shared" si="0"/>
        <v>45817</v>
      </c>
      <c r="AQ25" s="64">
        <f t="shared" si="0"/>
        <v>45818</v>
      </c>
      <c r="AR25" s="64">
        <f t="shared" si="0"/>
        <v>45819</v>
      </c>
      <c r="AS25" s="64">
        <f t="shared" si="0"/>
        <v>45820</v>
      </c>
      <c r="AT25" s="64">
        <f t="shared" si="0"/>
        <v>45821</v>
      </c>
      <c r="AU25" s="64">
        <f t="shared" si="0"/>
        <v>45822</v>
      </c>
      <c r="AV25" s="64">
        <f t="shared" si="0"/>
        <v>45823</v>
      </c>
      <c r="AW25" s="64">
        <f t="shared" si="0"/>
        <v>45824</v>
      </c>
      <c r="AX25" s="64">
        <f t="shared" si="0"/>
        <v>45825</v>
      </c>
      <c r="AY25" s="64">
        <f t="shared" si="0"/>
        <v>45826</v>
      </c>
      <c r="AZ25" s="71">
        <f t="shared" si="0"/>
        <v>45827</v>
      </c>
      <c r="BA25" s="71">
        <f t="shared" si="0"/>
        <v>45828</v>
      </c>
      <c r="BB25" s="71">
        <f t="shared" si="0"/>
        <v>45829</v>
      </c>
      <c r="BC25" s="71">
        <f t="shared" si="0"/>
        <v>45830</v>
      </c>
      <c r="BD25" s="71">
        <f t="shared" si="0"/>
        <v>45831</v>
      </c>
      <c r="BE25" s="71">
        <f t="shared" si="0"/>
        <v>45832</v>
      </c>
      <c r="BF25" s="72">
        <f t="shared" si="0"/>
        <v>45833</v>
      </c>
    </row>
    <row r="26" spans="1:58" x14ac:dyDescent="0.2">
      <c r="A26" s="172"/>
      <c r="B26" s="169" t="s">
        <v>41</v>
      </c>
      <c r="C26" s="180">
        <f>C2</f>
        <v>1576</v>
      </c>
      <c r="D26" s="180">
        <f t="shared" ref="D26:BF26" si="1">D2</f>
        <v>2299</v>
      </c>
      <c r="E26" s="180">
        <f t="shared" si="1"/>
        <v>1878</v>
      </c>
      <c r="F26" s="180">
        <f t="shared" si="1"/>
        <v>1628</v>
      </c>
      <c r="G26" s="180">
        <f t="shared" si="1"/>
        <v>1555</v>
      </c>
      <c r="H26" s="180">
        <f t="shared" si="1"/>
        <v>1240</v>
      </c>
      <c r="I26" s="180">
        <f t="shared" si="1"/>
        <v>864</v>
      </c>
      <c r="J26" s="180">
        <f t="shared" si="1"/>
        <v>1882</v>
      </c>
      <c r="K26" s="180">
        <f t="shared" si="1"/>
        <v>2306</v>
      </c>
      <c r="L26" s="180">
        <f t="shared" si="1"/>
        <v>1988</v>
      </c>
      <c r="M26" s="180">
        <f t="shared" si="1"/>
        <v>1886</v>
      </c>
      <c r="N26" s="180">
        <f t="shared" si="1"/>
        <v>1365</v>
      </c>
      <c r="O26" s="180">
        <f t="shared" si="1"/>
        <v>998</v>
      </c>
      <c r="P26" s="180">
        <f t="shared" si="1"/>
        <v>1052</v>
      </c>
      <c r="Q26" s="180">
        <f t="shared" si="1"/>
        <v>1905</v>
      </c>
      <c r="R26" s="180">
        <f t="shared" si="1"/>
        <v>1767</v>
      </c>
      <c r="S26" s="180">
        <f t="shared" si="1"/>
        <v>1911</v>
      </c>
      <c r="T26" s="180">
        <f t="shared" si="1"/>
        <v>2036</v>
      </c>
      <c r="U26" s="180">
        <f t="shared" si="1"/>
        <v>1428</v>
      </c>
      <c r="V26" s="180">
        <f t="shared" si="1"/>
        <v>1008</v>
      </c>
      <c r="W26" s="180">
        <f t="shared" si="1"/>
        <v>1082</v>
      </c>
      <c r="X26" s="180">
        <f t="shared" si="1"/>
        <v>1921</v>
      </c>
      <c r="Y26" s="180">
        <f t="shared" si="1"/>
        <v>1780</v>
      </c>
      <c r="Z26" s="180">
        <f t="shared" si="1"/>
        <v>2071</v>
      </c>
      <c r="AA26" s="180">
        <f t="shared" si="1"/>
        <v>1813</v>
      </c>
      <c r="AB26" s="180">
        <f t="shared" si="1"/>
        <v>1780</v>
      </c>
      <c r="AC26" s="180">
        <f t="shared" si="1"/>
        <v>1236</v>
      </c>
      <c r="AD26" s="180">
        <f t="shared" si="1"/>
        <v>1082</v>
      </c>
      <c r="AE26" s="180">
        <f t="shared" si="1"/>
        <v>1777</v>
      </c>
      <c r="AF26" s="180">
        <f t="shared" si="1"/>
        <v>1766</v>
      </c>
      <c r="AG26" s="180">
        <f t="shared" si="1"/>
        <v>1884</v>
      </c>
      <c r="AH26" s="180">
        <f t="shared" si="1"/>
        <v>1780</v>
      </c>
      <c r="AI26" s="180">
        <f t="shared" si="1"/>
        <v>1572</v>
      </c>
      <c r="AJ26" s="180">
        <f t="shared" si="1"/>
        <v>948</v>
      </c>
      <c r="AK26" s="180">
        <f t="shared" si="1"/>
        <v>1085</v>
      </c>
      <c r="AL26" s="180">
        <f t="shared" si="1"/>
        <v>2917</v>
      </c>
      <c r="AM26" s="180">
        <f t="shared" si="1"/>
        <v>2801</v>
      </c>
      <c r="AN26" s="180">
        <f t="shared" si="1"/>
        <v>3075</v>
      </c>
      <c r="AO26" s="180">
        <f t="shared" si="1"/>
        <v>2737</v>
      </c>
      <c r="AP26" s="180">
        <f t="shared" si="1"/>
        <v>2329</v>
      </c>
      <c r="AQ26" s="180">
        <f t="shared" si="1"/>
        <v>1540</v>
      </c>
      <c r="AR26" s="180">
        <f t="shared" si="1"/>
        <v>1787</v>
      </c>
      <c r="AS26" s="180">
        <f t="shared" si="1"/>
        <v>3102</v>
      </c>
      <c r="AT26" s="180">
        <f t="shared" si="1"/>
        <v>2403</v>
      </c>
      <c r="AU26" s="180">
        <f t="shared" si="1"/>
        <v>2927</v>
      </c>
      <c r="AV26" s="180">
        <f t="shared" si="1"/>
        <v>3213</v>
      </c>
      <c r="AW26" s="180">
        <f t="shared" si="1"/>
        <v>2194</v>
      </c>
      <c r="AX26" s="180">
        <f t="shared" si="1"/>
        <v>1780</v>
      </c>
      <c r="AY26" s="180">
        <f t="shared" si="1"/>
        <v>1408</v>
      </c>
      <c r="AZ26" s="181">
        <f t="shared" si="1"/>
        <v>2920</v>
      </c>
      <c r="BA26" s="181">
        <f t="shared" si="1"/>
        <v>2647</v>
      </c>
      <c r="BB26" s="181">
        <f t="shared" si="1"/>
        <v>3020</v>
      </c>
      <c r="BC26" s="181">
        <f t="shared" si="1"/>
        <v>2338</v>
      </c>
      <c r="BD26" s="181">
        <f t="shared" si="1"/>
        <v>2950</v>
      </c>
      <c r="BE26" s="181">
        <f t="shared" si="1"/>
        <v>1601</v>
      </c>
      <c r="BF26" s="182">
        <f t="shared" si="1"/>
        <v>1615</v>
      </c>
    </row>
    <row r="27" spans="1:58" x14ac:dyDescent="0.2">
      <c r="A27" s="172"/>
      <c r="B27" s="169" t="s">
        <v>64</v>
      </c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1"/>
      <c r="BA27" s="181"/>
      <c r="BB27" s="181"/>
      <c r="BC27" s="181"/>
      <c r="BD27" s="181"/>
      <c r="BE27" s="181"/>
      <c r="BF27" s="182"/>
    </row>
    <row r="28" spans="1:58" x14ac:dyDescent="0.2">
      <c r="A28" s="173">
        <f>S7</f>
        <v>0.3</v>
      </c>
      <c r="B28" s="169" t="s">
        <v>44</v>
      </c>
      <c r="C28" s="232">
        <f>AVERAGE($C$26:$I$26)</f>
        <v>1577.1428571428571</v>
      </c>
      <c r="D28" s="232">
        <f t="shared" ref="D28:I28" si="2">AVERAGE($C$26:$I$26)</f>
        <v>1577.1428571428571</v>
      </c>
      <c r="E28" s="232">
        <f t="shared" si="2"/>
        <v>1577.1428571428571</v>
      </c>
      <c r="F28" s="232">
        <f t="shared" si="2"/>
        <v>1577.1428571428571</v>
      </c>
      <c r="G28" s="232">
        <f t="shared" si="2"/>
        <v>1577.1428571428571</v>
      </c>
      <c r="H28" s="232">
        <f t="shared" si="2"/>
        <v>1577.1428571428571</v>
      </c>
      <c r="I28" s="232">
        <f t="shared" si="2"/>
        <v>1577.1428571428571</v>
      </c>
      <c r="J28" s="232">
        <f>$A$28*(J26/C29)+(1-$A$28)*I28</f>
        <v>1669.0094271211024</v>
      </c>
      <c r="K28" s="232">
        <f t="shared" ref="K28:P28" si="3">$A$28*(K26/D29)+(1-$A$28)*J28</f>
        <v>1642.8900824869154</v>
      </c>
      <c r="L28" s="232">
        <f t="shared" si="3"/>
        <v>1650.8792877727894</v>
      </c>
      <c r="M28" s="232">
        <f t="shared" si="3"/>
        <v>1703.7404575659089</v>
      </c>
      <c r="N28" s="232">
        <f t="shared" si="3"/>
        <v>1607.949510006747</v>
      </c>
      <c r="O28" s="232">
        <f t="shared" si="3"/>
        <v>1506.3683436406675</v>
      </c>
      <c r="P28" s="232">
        <f t="shared" si="3"/>
        <v>1630.5530786437052</v>
      </c>
      <c r="Q28" s="232">
        <f t="shared" ref="Q28" si="4">$A$28*(Q26/J29)+(1-$A$28)*P28</f>
        <v>1688.6991282884333</v>
      </c>
      <c r="R28" s="232">
        <f t="shared" ref="R28" si="5">$A$28*(R26/K29)+(1-$A$28)*Q28</f>
        <v>1550.5283458932768</v>
      </c>
      <c r="S28" s="232">
        <f t="shared" ref="S28" si="6">$A$28*(S26/L29)+(1-$A$28)*R28</f>
        <v>1564.9314133025989</v>
      </c>
      <c r="T28" s="232">
        <f t="shared" ref="T28" si="7">$A$28*(T26/M29)+(1-$A$28)*S28</f>
        <v>1672.5485207866641</v>
      </c>
      <c r="U28" s="232">
        <f t="shared" ref="U28" si="8">$A$28*(U26/N29)+(1-$A$28)*T28</f>
        <v>1627.5044567069392</v>
      </c>
      <c r="V28" s="232">
        <f t="shared" ref="V28" si="9">$A$28*(V26/O29)+(1-$A$28)*U28</f>
        <v>1546.2885215014885</v>
      </c>
      <c r="W28" s="232">
        <f t="shared" ref="W28" si="10">$A$28*(W26/P29)+(1-$A$28)*V28</f>
        <v>1640.2298606093018</v>
      </c>
      <c r="X28" s="232">
        <f t="shared" ref="X28" si="11">$A$28*(X26/Q29)+(1-$A$28)*W28</f>
        <v>1684.9746088807715</v>
      </c>
      <c r="Y28" s="232">
        <f t="shared" ref="Y28" si="12">$A$28*(Y26/R29)+(1-$A$28)*X28</f>
        <v>1579.7621370802267</v>
      </c>
      <c r="Z28" s="232">
        <f t="shared" ref="Z28" si="13">$A$28*(Z26/S29)+(1-$A$28)*Y28</f>
        <v>1621.6695601182432</v>
      </c>
      <c r="AA28" s="232">
        <f t="shared" ref="AA28" si="14">$A$28*(AA26/T29)+(1-$A$28)*Z28</f>
        <v>1623.4015703951327</v>
      </c>
      <c r="AB28" s="232">
        <f t="shared" ref="AB28" si="15">$A$28*(AB26/U29)+(1-$A$28)*AA28</f>
        <v>1718.8478714615039</v>
      </c>
      <c r="AC28" s="232">
        <f t="shared" ref="AC28" si="16">$A$28*(AC26/V29)+(1-$A$28)*AB28</f>
        <v>1724.6643624175522</v>
      </c>
      <c r="AD28" s="232">
        <f t="shared" ref="AD28" si="17">$A$28*(AD26/W29)+(1-$A$28)*AC28</f>
        <v>1740.1674132900869</v>
      </c>
      <c r="AE28" s="232">
        <f t="shared" ref="AE28" si="18">$A$28*(AE26/X29)+(1-$A$28)*AD28</f>
        <v>1704.1503687823833</v>
      </c>
      <c r="AF28" s="232">
        <f t="shared" ref="AF28" si="19">$A$28*(AF26/Y29)+(1-$A$28)*AE28</f>
        <v>1612.8793594778892</v>
      </c>
      <c r="AG28" s="232">
        <f t="shared" ref="AG28" si="20">$A$28*(AG26/Z29)+(1-$A$28)*AF28</f>
        <v>1588.5756837217264</v>
      </c>
      <c r="AH28" s="232">
        <f t="shared" ref="AH28" si="21">$A$28*(AH26/AA29)+(1-$A$28)*AG28</f>
        <v>1590.931810680863</v>
      </c>
      <c r="AI28" s="232">
        <f t="shared" ref="AI28" si="22">$A$28*(AI26/AB29)+(1-$A$28)*AH28</f>
        <v>1605.7398880897806</v>
      </c>
      <c r="AJ28" s="232">
        <f t="shared" ref="AJ28" si="23">$A$28*(AJ26/AC29)+(1-$A$28)*AI28</f>
        <v>1522.8824352517745</v>
      </c>
      <c r="AK28" s="232">
        <f t="shared" ref="AK28" si="24">$A$28*(AK26/AD29)+(1-$A$28)*AJ28</f>
        <v>1596.5377416648766</v>
      </c>
      <c r="AL28" s="232">
        <f t="shared" ref="AL28" si="25">$A$28*(AL26/AE29)+(1-$A$28)*AK28</f>
        <v>1929.4274744177817</v>
      </c>
      <c r="AM28" s="232">
        <f t="shared" ref="AM28" si="26">$A$28*(AM26/AF29)+(1-$A$28)*AL28</f>
        <v>2048.9829152571133</v>
      </c>
      <c r="AN28" s="232">
        <f t="shared" ref="AN28" si="27">$A$28*(AN26/AG29)+(1-$A$28)*AM28</f>
        <v>2193.8564912332727</v>
      </c>
      <c r="AO28" s="232">
        <f t="shared" ref="AO28" si="28">$A$28*(AO26/AH29)+(1-$A$28)*AN28</f>
        <v>2271.2302925385357</v>
      </c>
      <c r="AP28" s="232">
        <f t="shared" ref="AP28" si="29">$A$28*(AP26/AI29)+(1-$A$28)*AO28</f>
        <v>2313.465026495408</v>
      </c>
      <c r="AQ28" s="232">
        <f t="shared" ref="AQ28" si="30">$A$28*(AQ26/AJ29)+(1-$A$28)*AP28</f>
        <v>2297.4991311908548</v>
      </c>
      <c r="AR28" s="232">
        <f t="shared" ref="AR28" si="31">$A$28*(AR26/AK29)+(1-$A$28)*AQ28</f>
        <v>2450.2931399070976</v>
      </c>
      <c r="AS28" s="232">
        <f t="shared" ref="AS28" si="32">$A$28*(AS26/AL29)+(1-$A$28)*AR28</f>
        <v>2471.9220923131497</v>
      </c>
      <c r="AT28" s="232">
        <f t="shared" ref="AT28" si="33">$A$28*(AT26/AM29)+(1-$A$28)*AS28</f>
        <v>2302.2426254631719</v>
      </c>
      <c r="AU28" s="232">
        <f t="shared" ref="AU28" si="34">$A$28*(AU26/AN29)+(1-$A$28)*AT28</f>
        <v>2297.583855200849</v>
      </c>
      <c r="AV28" s="232">
        <f t="shared" ref="AV28" si="35">$A$28*(AV26/AO29)+(1-$A$28)*AU28</f>
        <v>2448.3857922749798</v>
      </c>
      <c r="AW28" s="232">
        <f t="shared" ref="AW28" si="36">$A$28*(AW26/AP29)+(1-$A$28)*AV28</f>
        <v>2385.5166795572923</v>
      </c>
      <c r="AX28" s="232">
        <f t="shared" ref="AX28" si="37">$A$28*(AX26/AQ29)+(1-$A$28)*AW28</f>
        <v>2458.0824247639944</v>
      </c>
      <c r="AY28" s="232">
        <f t="shared" ref="AY28" si="38">$A$28*(AY26/AR29)+(1-$A$28)*AX28</f>
        <v>2351.9651759874323</v>
      </c>
      <c r="AZ28" s="233">
        <f>AY28</f>
        <v>2351.9651759874323</v>
      </c>
      <c r="BA28" s="233">
        <f t="shared" ref="BA28:BE28" si="39">AZ28</f>
        <v>2351.9651759874323</v>
      </c>
      <c r="BB28" s="233">
        <f t="shared" si="39"/>
        <v>2351.9651759874323</v>
      </c>
      <c r="BC28" s="233">
        <f t="shared" si="39"/>
        <v>2351.9651759874323</v>
      </c>
      <c r="BD28" s="233">
        <f t="shared" si="39"/>
        <v>2351.9651759874323</v>
      </c>
      <c r="BE28" s="233">
        <f t="shared" si="39"/>
        <v>2351.9651759874323</v>
      </c>
      <c r="BF28" s="182"/>
    </row>
    <row r="29" spans="1:58" x14ac:dyDescent="0.2">
      <c r="A29" s="173">
        <f>T7</f>
        <v>0.35</v>
      </c>
      <c r="B29" s="169" t="s">
        <v>62</v>
      </c>
      <c r="C29" s="232">
        <f>C26/C28</f>
        <v>0.99927536231884062</v>
      </c>
      <c r="D29" s="232">
        <f t="shared" ref="D29:I29" si="40">D26/D28</f>
        <v>1.4576992753623188</v>
      </c>
      <c r="E29" s="232">
        <f t="shared" si="40"/>
        <v>1.1907608695652174</v>
      </c>
      <c r="F29" s="232">
        <f t="shared" si="40"/>
        <v>1.0322463768115941</v>
      </c>
      <c r="G29" s="232">
        <f t="shared" si="40"/>
        <v>0.98596014492753625</v>
      </c>
      <c r="H29" s="232">
        <f t="shared" si="40"/>
        <v>0.78623188405797106</v>
      </c>
      <c r="I29" s="232">
        <f t="shared" si="40"/>
        <v>0.5478260869565218</v>
      </c>
      <c r="J29" s="232">
        <f>$A$29*(J26/J28)+(1-$A$29)*C29</f>
        <v>1.0441942218421909</v>
      </c>
      <c r="K29" s="232">
        <f t="shared" ref="K29:P29" si="41">$A$29*(K26/K28)+(1-$A$29)*D29</f>
        <v>1.4387729398205504</v>
      </c>
      <c r="L29" s="232">
        <f t="shared" si="41"/>
        <v>1.1954669315820501</v>
      </c>
      <c r="M29" s="232">
        <f t="shared" si="41"/>
        <v>1.0584017866803348</v>
      </c>
      <c r="N29" s="232">
        <f t="shared" si="41"/>
        <v>0.93799163242584638</v>
      </c>
      <c r="O29" s="232">
        <f t="shared" si="41"/>
        <v>0.74293292096410823</v>
      </c>
      <c r="P29" s="232">
        <f t="shared" si="41"/>
        <v>0.58189990601877051</v>
      </c>
      <c r="Q29" s="232">
        <f>$A$29*(Q26/Q28)+(1-$A$29)*J29</f>
        <v>1.0735567908773285</v>
      </c>
      <c r="R29" s="232">
        <f t="shared" ref="R29:W29" si="42">$A$29*(R26/R28)+(1-$A$29)*K29</f>
        <v>1.3340664507688744</v>
      </c>
      <c r="S29" s="232">
        <f t="shared" si="42"/>
        <v>1.2044524281357285</v>
      </c>
      <c r="T29" s="232">
        <f t="shared" si="42"/>
        <v>1.1140175603905613</v>
      </c>
      <c r="U29" s="232">
        <f t="shared" si="42"/>
        <v>0.9167904943262154</v>
      </c>
      <c r="V29" s="232">
        <f t="shared" si="42"/>
        <v>0.71106562964613207</v>
      </c>
      <c r="W29" s="232">
        <f t="shared" si="42"/>
        <v>0.60911721285112486</v>
      </c>
      <c r="X29" s="232">
        <f>$A$29*(X26/X28)+(1-$A$29)*Q29</f>
        <v>1.0968386984837106</v>
      </c>
      <c r="Y29" s="232">
        <f t="shared" ref="Y29:AD29" si="43">$A$29*(Y26/Y28)+(1-$A$29)*R29</f>
        <v>1.2615063603253578</v>
      </c>
      <c r="Z29" s="232">
        <f t="shared" si="43"/>
        <v>1.2298716980365698</v>
      </c>
      <c r="AA29" s="232">
        <f t="shared" si="43"/>
        <v>1.1149882075081377</v>
      </c>
      <c r="AB29" s="232">
        <f t="shared" si="43"/>
        <v>0.95836590933206645</v>
      </c>
      <c r="AC29" s="232">
        <f t="shared" si="43"/>
        <v>0.71302407286376013</v>
      </c>
      <c r="AD29" s="232">
        <f t="shared" si="43"/>
        <v>0.61354892804354766</v>
      </c>
      <c r="AE29" s="232">
        <f>$A$29*(AE26/AE28)+(1-$A$29)*X29</f>
        <v>1.077907079554107</v>
      </c>
      <c r="AF29" s="232">
        <f t="shared" ref="AF29:AK29" si="44">$A$29*(AF26/AF28)+(1-$A$29)*Y29</f>
        <v>1.2032068048787341</v>
      </c>
      <c r="AG29" s="232">
        <f t="shared" si="44"/>
        <v>1.2145054199236716</v>
      </c>
      <c r="AH29" s="232">
        <f t="shared" si="44"/>
        <v>1.1163367425207891</v>
      </c>
      <c r="AI29" s="232">
        <f t="shared" si="44"/>
        <v>0.96558362328809877</v>
      </c>
      <c r="AJ29" s="232">
        <f t="shared" si="44"/>
        <v>0.68134195371279049</v>
      </c>
      <c r="AK29" s="232">
        <f t="shared" si="44"/>
        <v>0.63666525786401973</v>
      </c>
      <c r="AL29" s="232">
        <f>$A$29*(AL26/AL28)+(1-$A$29)*AE29</f>
        <v>1.2297862079116175</v>
      </c>
      <c r="AM29" s="232">
        <f t="shared" ref="AM29:AR29" si="45">$A$29*(AM26/AM28)+(1-$A$29)*AF29</f>
        <v>1.260541316442531</v>
      </c>
      <c r="AN29" s="232">
        <f t="shared" si="45"/>
        <v>1.2800029995858149</v>
      </c>
      <c r="AO29" s="232">
        <f t="shared" si="45"/>
        <v>1.1473946942535065</v>
      </c>
      <c r="AP29" s="232">
        <f t="shared" si="45"/>
        <v>0.97997961358696462</v>
      </c>
      <c r="AQ29" s="232">
        <f t="shared" si="45"/>
        <v>0.67747518779151217</v>
      </c>
      <c r="AR29" s="232">
        <f t="shared" si="45"/>
        <v>0.66908759088598835</v>
      </c>
      <c r="AS29" s="232">
        <f>$A$29*(AS26/AS28)+(1-$A$29)*AL29</f>
        <v>1.238573906525579</v>
      </c>
      <c r="AT29" s="232">
        <f t="shared" ref="AT29:AY29" si="46">$A$29*(AT26/AT28)+(1-$A$29)*AM29</f>
        <v>1.1846695640376914</v>
      </c>
      <c r="AU29" s="232">
        <f t="shared" si="46"/>
        <v>1.2778833906544864</v>
      </c>
      <c r="AV29" s="232">
        <f t="shared" si="46"/>
        <v>1.2051091675224466</v>
      </c>
      <c r="AW29" s="232">
        <f t="shared" si="46"/>
        <v>0.95888766303620487</v>
      </c>
      <c r="AX29" s="232">
        <f t="shared" si="46"/>
        <v>0.69380846908514249</v>
      </c>
      <c r="AY29" s="232">
        <f t="shared" si="46"/>
        <v>0.64443384588193409</v>
      </c>
      <c r="AZ29" s="233"/>
      <c r="BA29" s="233"/>
      <c r="BB29" s="233"/>
      <c r="BC29" s="233"/>
      <c r="BD29" s="233"/>
      <c r="BE29" s="233"/>
      <c r="BF29" s="182"/>
    </row>
    <row r="30" spans="1:58" ht="16" thickBot="1" x14ac:dyDescent="0.25">
      <c r="A30" s="174"/>
      <c r="B30" s="170" t="s">
        <v>65</v>
      </c>
      <c r="C30" s="234"/>
      <c r="D30" s="234"/>
      <c r="E30" s="234"/>
      <c r="F30" s="234"/>
      <c r="G30" s="234"/>
      <c r="H30" s="234"/>
      <c r="I30" s="234">
        <f>I28*C29</f>
        <v>1576</v>
      </c>
      <c r="J30" s="234">
        <f t="shared" ref="J30:BE30" si="47">J28*D29</f>
        <v>2432.9138324873097</v>
      </c>
      <c r="K30" s="234">
        <f t="shared" si="47"/>
        <v>1956.2892232221911</v>
      </c>
      <c r="L30" s="234">
        <f t="shared" si="47"/>
        <v>1704.114163356767</v>
      </c>
      <c r="M30" s="234">
        <f t="shared" si="47"/>
        <v>1679.8201884605903</v>
      </c>
      <c r="N30" s="234">
        <f t="shared" si="47"/>
        <v>1264.2211727226961</v>
      </c>
      <c r="O30" s="234">
        <f t="shared" si="47"/>
        <v>825.22787521184398</v>
      </c>
      <c r="P30" s="234">
        <f t="shared" si="47"/>
        <v>1702.6141031267525</v>
      </c>
      <c r="Q30" s="234">
        <f t="shared" si="47"/>
        <v>2429.6546092799499</v>
      </c>
      <c r="R30" s="234">
        <f t="shared" si="47"/>
        <v>1853.6053639960271</v>
      </c>
      <c r="S30" s="234">
        <f t="shared" si="47"/>
        <v>1656.3262038716521</v>
      </c>
      <c r="T30" s="234">
        <f t="shared" si="47"/>
        <v>1568.8365173241177</v>
      </c>
      <c r="U30" s="234">
        <f t="shared" si="47"/>
        <v>1209.1266399033905</v>
      </c>
      <c r="V30" s="234">
        <f t="shared" si="47"/>
        <v>899.7851453396197</v>
      </c>
      <c r="W30" s="234">
        <f t="shared" si="47"/>
        <v>1760.8799054568899</v>
      </c>
      <c r="X30" s="234">
        <f t="shared" si="47"/>
        <v>2247.8680961052432</v>
      </c>
      <c r="Y30" s="234">
        <f t="shared" si="47"/>
        <v>1902.7483418831666</v>
      </c>
      <c r="Z30" s="234">
        <f t="shared" si="47"/>
        <v>1806.5683671225599</v>
      </c>
      <c r="AA30" s="234">
        <f t="shared" si="47"/>
        <v>1488.3191282125081</v>
      </c>
      <c r="AB30" s="234">
        <f t="shared" si="47"/>
        <v>1222.2136439866881</v>
      </c>
      <c r="AC30" s="234">
        <f t="shared" si="47"/>
        <v>1050.5227495394417</v>
      </c>
      <c r="AD30" s="234">
        <f t="shared" si="47"/>
        <v>1908.6829607368643</v>
      </c>
      <c r="AE30" s="234">
        <f t="shared" si="47"/>
        <v>2149.7965291697806</v>
      </c>
      <c r="AF30" s="234">
        <f t="shared" si="47"/>
        <v>1983.6346765692067</v>
      </c>
      <c r="AG30" s="234">
        <f t="shared" si="47"/>
        <v>1771.2431540839018</v>
      </c>
      <c r="AH30" s="234">
        <f t="shared" si="47"/>
        <v>1524.6948114284762</v>
      </c>
      <c r="AI30" s="234">
        <f t="shared" si="47"/>
        <v>1144.9311949655737</v>
      </c>
      <c r="AJ30" s="234">
        <f t="shared" si="47"/>
        <v>934.36288568507359</v>
      </c>
      <c r="AK30" s="234">
        <f t="shared" si="47"/>
        <v>1720.9193345158965</v>
      </c>
      <c r="AL30" s="234">
        <f t="shared" si="47"/>
        <v>2321.5002667394647</v>
      </c>
      <c r="AM30" s="234">
        <f t="shared" si="47"/>
        <v>2488.5008559107691</v>
      </c>
      <c r="AN30" s="234">
        <f t="shared" si="47"/>
        <v>2449.0826089814395</v>
      </c>
      <c r="AO30" s="234">
        <f t="shared" si="47"/>
        <v>2193.0627751910479</v>
      </c>
      <c r="AP30" s="234">
        <f t="shared" si="47"/>
        <v>1576.2607809985939</v>
      </c>
      <c r="AQ30" s="234">
        <f t="shared" si="47"/>
        <v>1462.7378768019869</v>
      </c>
      <c r="AR30" s="234">
        <f t="shared" si="47"/>
        <v>3013.3367087982001</v>
      </c>
      <c r="AS30" s="234">
        <f t="shared" si="47"/>
        <v>3115.9599283877933</v>
      </c>
      <c r="AT30" s="234">
        <f t="shared" si="47"/>
        <v>2946.8774663671816</v>
      </c>
      <c r="AU30" s="234">
        <f t="shared" si="47"/>
        <v>2636.2355250599708</v>
      </c>
      <c r="AV30" s="234">
        <f t="shared" si="47"/>
        <v>2399.3681626254488</v>
      </c>
      <c r="AW30" s="234">
        <f t="shared" si="47"/>
        <v>1616.1283604628611</v>
      </c>
      <c r="AX30" s="234">
        <f t="shared" si="47"/>
        <v>1644.6724477845296</v>
      </c>
      <c r="AY30" s="234">
        <f t="shared" si="47"/>
        <v>2913.082696034875</v>
      </c>
      <c r="AZ30" s="235">
        <f t="shared" si="47"/>
        <v>2786.3015596688638</v>
      </c>
      <c r="BA30" s="235">
        <f t="shared" si="47"/>
        <v>3005.5372337920958</v>
      </c>
      <c r="BB30" s="235">
        <f t="shared" si="47"/>
        <v>2834.3747952759991</v>
      </c>
      <c r="BC30" s="235">
        <f t="shared" si="47"/>
        <v>2255.2703911451254</v>
      </c>
      <c r="BD30" s="235">
        <f t="shared" si="47"/>
        <v>1631.8133580934082</v>
      </c>
      <c r="BE30" s="235">
        <f t="shared" si="47"/>
        <v>1515.6859637419609</v>
      </c>
      <c r="BF30" s="184"/>
    </row>
    <row r="31" spans="1:58" ht="16" thickBot="1" x14ac:dyDescent="0.25"/>
    <row r="32" spans="1:58" x14ac:dyDescent="0.2">
      <c r="A32" s="175"/>
      <c r="B32" s="176" t="s">
        <v>66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5"/>
      <c r="AT32" s="185"/>
      <c r="AU32" s="185"/>
      <c r="AV32" s="185"/>
      <c r="AW32" s="185"/>
      <c r="AX32" s="185"/>
      <c r="AY32" s="185"/>
      <c r="AZ32" s="186"/>
      <c r="BA32" s="186"/>
      <c r="BB32" s="186"/>
      <c r="BC32" s="186"/>
      <c r="BD32" s="186"/>
      <c r="BE32" s="186"/>
      <c r="BF32" s="187"/>
    </row>
    <row r="33" spans="1:58" x14ac:dyDescent="0.2">
      <c r="A33" s="173">
        <f>S11</f>
        <v>0.5</v>
      </c>
      <c r="B33" s="169" t="s">
        <v>44</v>
      </c>
      <c r="C33" s="232">
        <f>AVERAGE($C$26:$I$26)</f>
        <v>1577.1428571428571</v>
      </c>
      <c r="D33" s="232">
        <f t="shared" ref="D33:I33" si="48">AVERAGE($C$26:$I$26)</f>
        <v>1577.1428571428571</v>
      </c>
      <c r="E33" s="232">
        <f t="shared" si="48"/>
        <v>1577.1428571428571</v>
      </c>
      <c r="F33" s="232">
        <f t="shared" si="48"/>
        <v>1577.1428571428571</v>
      </c>
      <c r="G33" s="232">
        <f t="shared" si="48"/>
        <v>1577.1428571428571</v>
      </c>
      <c r="H33" s="232">
        <f t="shared" si="48"/>
        <v>1577.1428571428571</v>
      </c>
      <c r="I33" s="232">
        <f t="shared" si="48"/>
        <v>1577.1428571428571</v>
      </c>
      <c r="J33" s="232">
        <f>$A$33*(J26/C36)+(1-$A$33)*(I33+I35)</f>
        <v>1752.1109499637419</v>
      </c>
      <c r="K33" s="232">
        <f t="shared" ref="K33:P33" si="49">$A$33*(K26/D36)+(1-$A$33)*(J33+J35)</f>
        <v>1702.0104710532469</v>
      </c>
      <c r="L33" s="232">
        <f t="shared" si="49"/>
        <v>1708.7415898763975</v>
      </c>
      <c r="M33" s="232">
        <f t="shared" si="49"/>
        <v>1786.9662771326616</v>
      </c>
      <c r="N33" s="232">
        <f t="shared" si="49"/>
        <v>1608.7673677319376</v>
      </c>
      <c r="O33" s="232">
        <f t="shared" si="49"/>
        <v>1439.6890677041415</v>
      </c>
      <c r="P33" s="232">
        <f t="shared" si="49"/>
        <v>1663.6014922306331</v>
      </c>
      <c r="Q33" s="232">
        <f t="shared" ref="Q33:Z33" si="50">$A$33*(Q26/J36)+(1-$A$33)*(P33+P35)</f>
        <v>1753.2609865907154</v>
      </c>
      <c r="R33" s="232">
        <f t="shared" si="50"/>
        <v>1525.8916513896615</v>
      </c>
      <c r="S33" s="232">
        <f t="shared" si="50"/>
        <v>1566.9476723986536</v>
      </c>
      <c r="T33" s="232">
        <f t="shared" si="50"/>
        <v>1752.9655339365549</v>
      </c>
      <c r="U33" s="232">
        <f t="shared" si="50"/>
        <v>1682.49168689371</v>
      </c>
      <c r="V33" s="232">
        <f t="shared" si="50"/>
        <v>1536.7939944755249</v>
      </c>
      <c r="W33" s="232">
        <f t="shared" si="50"/>
        <v>1662.105130364765</v>
      </c>
      <c r="X33" s="232">
        <f t="shared" si="50"/>
        <v>1733.4631609960907</v>
      </c>
      <c r="Y33" s="232">
        <f t="shared" si="50"/>
        <v>1587.5770283543075</v>
      </c>
      <c r="Z33" s="232">
        <f t="shared" si="50"/>
        <v>1649.583460286723</v>
      </c>
      <c r="AA33" s="232">
        <f t="shared" ref="AA33:AD33" si="51">$A$33*(AA26/T36)+(1-$A$33)*(Z33+Z35)</f>
        <v>1638.9079560136729</v>
      </c>
      <c r="AB33" s="232">
        <f t="shared" si="51"/>
        <v>1841.7173375390648</v>
      </c>
      <c r="AC33" s="232">
        <f t="shared" si="51"/>
        <v>1842.4058295876816</v>
      </c>
      <c r="AD33" s="232">
        <f t="shared" si="51"/>
        <v>1796.2269054885537</v>
      </c>
      <c r="AE33" s="232">
        <f t="shared" ref="AE33" si="52">$A$33*(AE26/X36)+(1-$A$33)*(AD33+AD35)</f>
        <v>1719.6234478486708</v>
      </c>
      <c r="AF33" s="232">
        <f t="shared" ref="AF33" si="53">$A$33*(AF26/Y36)+(1-$A$33)*(AE33+AE35)</f>
        <v>1611.0179094307605</v>
      </c>
      <c r="AG33" s="232">
        <f t="shared" ref="AG33" si="54">$A$33*(AG26/Z36)+(1-$A$33)*(AF33+AF35)</f>
        <v>1557.3611357845334</v>
      </c>
      <c r="AH33" s="232">
        <f t="shared" ref="AH33" si="55">$A$33*(AH26/AA36)+(1-$A$33)*(AG33+AG35)</f>
        <v>1565.9343265607135</v>
      </c>
      <c r="AI33" s="232">
        <f t="shared" ref="AI33" si="56">$A$33*(AI26/AB36)+(1-$A$33)*(AH33+AH35)</f>
        <v>1618.9594958472562</v>
      </c>
      <c r="AJ33" s="232">
        <f t="shared" ref="AJ33" si="57">$A$33*(AJ26/AC36)+(1-$A$33)*(AI33+AI35)</f>
        <v>1506.4490885178502</v>
      </c>
      <c r="AK33" s="232">
        <f t="shared" ref="AK33" si="58">$A$33*(AK26/AD36)+(1-$A$33)*(AJ33+AJ35)</f>
        <v>1623.6421910532802</v>
      </c>
      <c r="AL33" s="232">
        <f t="shared" ref="AL33" si="59">$A$33*(AL26/AE36)+(1-$A$33)*(AK33+AK35)</f>
        <v>2192.0655165900203</v>
      </c>
      <c r="AM33" s="232">
        <f t="shared" ref="AM33" si="60">$A$33*(AM26/AF36)+(1-$A$33)*(AL33+AL35)</f>
        <v>2395.6412077728273</v>
      </c>
      <c r="AN33" s="232">
        <f t="shared" ref="AN33" si="61">$A$33*(AN26/AG36)+(1-$A$33)*(AM33+AM35)</f>
        <v>2524.8791067991601</v>
      </c>
      <c r="AO33" s="232">
        <f t="shared" ref="AO33" si="62">$A$33*(AO26/AH36)+(1-$A$33)*(AN33+AN35)</f>
        <v>2543.7098437177165</v>
      </c>
      <c r="AP33" s="232">
        <f t="shared" ref="AP33" si="63">$A$33*(AP26/AI36)+(1-$A$33)*(AO33+AO35)</f>
        <v>2547.2712503994562</v>
      </c>
      <c r="AQ33" s="232">
        <f t="shared" ref="AQ33" si="64">$A$33*(AQ26/AJ36)+(1-$A$33)*(AP33+AP35)</f>
        <v>2505.382652573282</v>
      </c>
      <c r="AR33" s="232">
        <f t="shared" ref="AR33" si="65">$A$33*(AR26/AK36)+(1-$A$33)*(AQ33+AQ35)</f>
        <v>2666.1582118144315</v>
      </c>
      <c r="AS33" s="232">
        <f t="shared" ref="AS33" si="66">$A$33*(AS26/AL36)+(1-$A$33)*(AR33+AR35)</f>
        <v>2643.9648814553448</v>
      </c>
      <c r="AT33" s="232">
        <f t="shared" ref="AT33" si="67">$A$33*(AT26/AM36)+(1-$A$33)*(AS33+AS35)</f>
        <v>2395.0414095661181</v>
      </c>
      <c r="AU33" s="232">
        <f t="shared" ref="AU33" si="68">$A$33*(AU26/AN36)+(1-$A$33)*(AT33+AT35)</f>
        <v>2398.1100547543679</v>
      </c>
      <c r="AV33" s="232">
        <f t="shared" ref="AV33" si="69">$A$33*(AV26/AO36)+(1-$A$33)*(AU33+AU35)</f>
        <v>2664.7798359832191</v>
      </c>
      <c r="AW33" s="232">
        <f t="shared" ref="AW33" si="70">$A$33*(AW26/AP36)+(1-$A$33)*(AV33+AV35)</f>
        <v>2538.3937838143811</v>
      </c>
      <c r="AX33" s="232">
        <f t="shared" ref="AX33" si="71">$A$33*(AX26/AQ36)+(1-$A$33)*(AW33+AW35)</f>
        <v>2694.7518791163775</v>
      </c>
      <c r="AY33" s="232">
        <f t="shared" ref="AY33" si="72">$A$33*(AY26/AR36)+(1-$A$33)*(AX33+AX35)</f>
        <v>2435.4917482467945</v>
      </c>
      <c r="AZ33" s="233">
        <f>AY33</f>
        <v>2435.4917482467945</v>
      </c>
      <c r="BA33" s="233">
        <f t="shared" ref="BA33:BE33" si="73">AZ33</f>
        <v>2435.4917482467945</v>
      </c>
      <c r="BB33" s="233">
        <f t="shared" si="73"/>
        <v>2435.4917482467945</v>
      </c>
      <c r="BC33" s="233">
        <f t="shared" si="73"/>
        <v>2435.4917482467945</v>
      </c>
      <c r="BD33" s="233">
        <f t="shared" si="73"/>
        <v>2435.4917482467945</v>
      </c>
      <c r="BE33" s="233">
        <f t="shared" si="73"/>
        <v>2435.4917482467945</v>
      </c>
      <c r="BF33" s="182"/>
    </row>
    <row r="34" spans="1:58" x14ac:dyDescent="0.2">
      <c r="A34" s="172"/>
      <c r="B34" s="169" t="s">
        <v>67</v>
      </c>
      <c r="C34" s="180">
        <v>1</v>
      </c>
      <c r="D34" s="180">
        <v>1</v>
      </c>
      <c r="E34" s="180">
        <v>1</v>
      </c>
      <c r="F34" s="180">
        <v>1</v>
      </c>
      <c r="G34" s="180">
        <v>1</v>
      </c>
      <c r="H34" s="180">
        <v>1</v>
      </c>
      <c r="I34" s="180">
        <v>1</v>
      </c>
      <c r="J34" s="180">
        <v>1</v>
      </c>
      <c r="K34" s="180">
        <v>1</v>
      </c>
      <c r="L34" s="180">
        <v>1</v>
      </c>
      <c r="M34" s="180">
        <v>1</v>
      </c>
      <c r="N34" s="180">
        <v>1</v>
      </c>
      <c r="O34" s="180">
        <v>1</v>
      </c>
      <c r="P34" s="180">
        <v>1</v>
      </c>
      <c r="Q34" s="180">
        <v>1</v>
      </c>
      <c r="R34" s="180">
        <v>1</v>
      </c>
      <c r="S34" s="180">
        <v>1</v>
      </c>
      <c r="T34" s="180">
        <v>1</v>
      </c>
      <c r="U34" s="180">
        <v>1</v>
      </c>
      <c r="V34" s="180">
        <v>1</v>
      </c>
      <c r="W34" s="180">
        <v>1</v>
      </c>
      <c r="X34" s="180">
        <v>1</v>
      </c>
      <c r="Y34" s="180">
        <v>1</v>
      </c>
      <c r="Z34" s="180">
        <v>1</v>
      </c>
      <c r="AA34" s="180">
        <v>1</v>
      </c>
      <c r="AB34" s="180">
        <v>1</v>
      </c>
      <c r="AC34" s="180">
        <v>1</v>
      </c>
      <c r="AD34" s="180">
        <v>1</v>
      </c>
      <c r="AE34" s="180">
        <v>1</v>
      </c>
      <c r="AF34" s="180">
        <v>1</v>
      </c>
      <c r="AG34" s="180">
        <v>1</v>
      </c>
      <c r="AH34" s="180">
        <v>1</v>
      </c>
      <c r="AI34" s="180">
        <v>1</v>
      </c>
      <c r="AJ34" s="180">
        <v>1</v>
      </c>
      <c r="AK34" s="180">
        <v>1</v>
      </c>
      <c r="AL34" s="180">
        <v>1</v>
      </c>
      <c r="AM34" s="180">
        <v>1</v>
      </c>
      <c r="AN34" s="180">
        <v>1</v>
      </c>
      <c r="AO34" s="180">
        <v>1</v>
      </c>
      <c r="AP34" s="180">
        <v>1</v>
      </c>
      <c r="AQ34" s="180">
        <v>1</v>
      </c>
      <c r="AR34" s="180">
        <v>1</v>
      </c>
      <c r="AS34" s="180">
        <v>1</v>
      </c>
      <c r="AT34" s="180">
        <v>1</v>
      </c>
      <c r="AU34" s="180">
        <v>1</v>
      </c>
      <c r="AV34" s="180">
        <v>1</v>
      </c>
      <c r="AW34" s="180">
        <v>1</v>
      </c>
      <c r="AX34" s="180">
        <v>1</v>
      </c>
      <c r="AY34" s="180">
        <v>1</v>
      </c>
      <c r="AZ34" s="181">
        <v>2</v>
      </c>
      <c r="BA34" s="181">
        <v>3</v>
      </c>
      <c r="BB34" s="181">
        <v>4</v>
      </c>
      <c r="BC34" s="181">
        <v>5</v>
      </c>
      <c r="BD34" s="181">
        <v>6</v>
      </c>
      <c r="BE34" s="181">
        <v>7</v>
      </c>
      <c r="BF34" s="182"/>
    </row>
    <row r="35" spans="1:58" x14ac:dyDescent="0.2">
      <c r="A35" s="173">
        <f>T11</f>
        <v>0.2</v>
      </c>
      <c r="B35" s="169" t="s">
        <v>63</v>
      </c>
      <c r="C35" s="180"/>
      <c r="D35" s="180"/>
      <c r="E35" s="180"/>
      <c r="F35" s="180"/>
      <c r="G35" s="180"/>
      <c r="H35" s="180"/>
      <c r="I35" s="232">
        <f>AVERAGE(D26:J26)-AVERAGE(C26:I26)</f>
        <v>43.714285714285779</v>
      </c>
      <c r="J35" s="232">
        <f>$A$35*(J33-I33)+(1-$A$35)*I35</f>
        <v>69.965047135605573</v>
      </c>
      <c r="K35" s="232">
        <f t="shared" ref="K35:T35" si="74">$A$35*(K33-J33)+(1-$A$35)*J35</f>
        <v>45.951941926385466</v>
      </c>
      <c r="L35" s="232">
        <f t="shared" si="74"/>
        <v>38.107777305738502</v>
      </c>
      <c r="M35" s="232">
        <f t="shared" si="74"/>
        <v>46.131159295843631</v>
      </c>
      <c r="N35" s="232">
        <f t="shared" si="74"/>
        <v>1.2651455565301006</v>
      </c>
      <c r="O35" s="232">
        <f t="shared" si="74"/>
        <v>-32.803543560335143</v>
      </c>
      <c r="P35" s="232">
        <f t="shared" si="74"/>
        <v>18.539650057030201</v>
      </c>
      <c r="Q35" s="232">
        <f t="shared" si="74"/>
        <v>32.763618917640635</v>
      </c>
      <c r="R35" s="232">
        <f t="shared" si="74"/>
        <v>-19.262971906098276</v>
      </c>
      <c r="S35" s="232">
        <f t="shared" si="74"/>
        <v>-7.1991733230802115</v>
      </c>
      <c r="T35" s="232">
        <f t="shared" si="74"/>
        <v>31.444233649116104</v>
      </c>
      <c r="U35" s="232">
        <f t="shared" ref="U35:V35" si="75">$A$35*(U33-T33)+(1-$A$35)*T35</f>
        <v>11.060617510723901</v>
      </c>
      <c r="V35" s="232">
        <f t="shared" si="75"/>
        <v>-20.291044475057916</v>
      </c>
      <c r="W35" s="232">
        <f t="shared" ref="W35:X35" si="76">$A$35*(W33-V33)+(1-$A$35)*V35</f>
        <v>8.8293915978017026</v>
      </c>
      <c r="X35" s="232">
        <f t="shared" si="76"/>
        <v>21.335119404506486</v>
      </c>
      <c r="Y35" s="232">
        <f t="shared" ref="Y35:Z35" si="77">$A$35*(Y33-X33)+(1-$A$35)*X35</f>
        <v>-12.10913100475145</v>
      </c>
      <c r="Z35" s="232">
        <f t="shared" si="77"/>
        <v>2.7139815826819547</v>
      </c>
      <c r="AA35" s="232">
        <f t="shared" ref="AA35:AD35" si="78">$A$35*(AA33-Z33)+(1-$A$35)*Z35</f>
        <v>3.6084411535536098E-2</v>
      </c>
      <c r="AB35" s="232">
        <f t="shared" si="78"/>
        <v>40.590743834306814</v>
      </c>
      <c r="AC35" s="232">
        <f t="shared" si="78"/>
        <v>32.610293477168817</v>
      </c>
      <c r="AD35" s="232">
        <f t="shared" si="78"/>
        <v>16.852449961909468</v>
      </c>
      <c r="AE35" s="232">
        <f t="shared" ref="AE35:AY35" si="79">$A$35*(AE33-AD33)+(1-$A$35)*AD35</f>
        <v>-1.8387315584490036</v>
      </c>
      <c r="AF35" s="232">
        <f t="shared" si="79"/>
        <v>-23.192092930341271</v>
      </c>
      <c r="AG35" s="232">
        <f t="shared" si="79"/>
        <v>-29.28502907351843</v>
      </c>
      <c r="AH35" s="232">
        <f t="shared" si="79"/>
        <v>-21.713385103578723</v>
      </c>
      <c r="AI35" s="232">
        <f t="shared" si="79"/>
        <v>-6.7656742255544433</v>
      </c>
      <c r="AJ35" s="232">
        <f t="shared" si="79"/>
        <v>-27.914620846324759</v>
      </c>
      <c r="AK35" s="232">
        <f t="shared" si="79"/>
        <v>1.1069238300261794</v>
      </c>
      <c r="AL35" s="232">
        <f t="shared" si="79"/>
        <v>114.57020417136897</v>
      </c>
      <c r="AM35" s="232">
        <f t="shared" si="79"/>
        <v>132.37130157365658</v>
      </c>
      <c r="AN35" s="232">
        <f t="shared" si="79"/>
        <v>131.74462106419185</v>
      </c>
      <c r="AO35" s="232">
        <f t="shared" si="79"/>
        <v>109.16184423506475</v>
      </c>
      <c r="AP35" s="232">
        <f t="shared" si="79"/>
        <v>88.041756724399761</v>
      </c>
      <c r="AQ35" s="232">
        <f t="shared" si="79"/>
        <v>62.055685814284971</v>
      </c>
      <c r="AR35" s="232">
        <f t="shared" si="79"/>
        <v>81.799660499657875</v>
      </c>
      <c r="AS35" s="232">
        <f t="shared" si="79"/>
        <v>61.001062327908954</v>
      </c>
      <c r="AT35" s="232">
        <f t="shared" si="79"/>
        <v>-0.98384451551817165</v>
      </c>
      <c r="AU35" s="232">
        <f t="shared" si="79"/>
        <v>-0.17334657476458237</v>
      </c>
      <c r="AV35" s="232">
        <f t="shared" si="79"/>
        <v>53.195278985958581</v>
      </c>
      <c r="AW35" s="232">
        <f t="shared" si="79"/>
        <v>17.279012754999268</v>
      </c>
      <c r="AX35" s="232">
        <f t="shared" si="79"/>
        <v>45.094829264398697</v>
      </c>
      <c r="AY35" s="232">
        <f t="shared" si="79"/>
        <v>-15.776162762397647</v>
      </c>
      <c r="AZ35" s="233">
        <f>AY35</f>
        <v>-15.776162762397647</v>
      </c>
      <c r="BA35" s="233">
        <f t="shared" ref="BA35:BE35" si="80">AZ35</f>
        <v>-15.776162762397647</v>
      </c>
      <c r="BB35" s="233">
        <f t="shared" si="80"/>
        <v>-15.776162762397647</v>
      </c>
      <c r="BC35" s="233">
        <f t="shared" si="80"/>
        <v>-15.776162762397647</v>
      </c>
      <c r="BD35" s="233">
        <f t="shared" si="80"/>
        <v>-15.776162762397647</v>
      </c>
      <c r="BE35" s="233">
        <f t="shared" si="80"/>
        <v>-15.776162762397647</v>
      </c>
      <c r="BF35" s="182"/>
    </row>
    <row r="36" spans="1:58" x14ac:dyDescent="0.2">
      <c r="A36" s="173">
        <f>U11</f>
        <v>0.6</v>
      </c>
      <c r="B36" s="169" t="s">
        <v>62</v>
      </c>
      <c r="C36" s="232">
        <f>C26/C33</f>
        <v>0.99927536231884062</v>
      </c>
      <c r="D36" s="232">
        <f t="shared" ref="D36:I36" si="81">D26/D33</f>
        <v>1.4576992753623188</v>
      </c>
      <c r="E36" s="232">
        <f t="shared" si="81"/>
        <v>1.1907608695652174</v>
      </c>
      <c r="F36" s="232">
        <f t="shared" si="81"/>
        <v>1.0322463768115941</v>
      </c>
      <c r="G36" s="232">
        <f t="shared" si="81"/>
        <v>0.98596014492753625</v>
      </c>
      <c r="H36" s="232">
        <f t="shared" si="81"/>
        <v>0.78623188405797106</v>
      </c>
      <c r="I36" s="232">
        <f t="shared" si="81"/>
        <v>0.5478260869565218</v>
      </c>
      <c r="J36" s="232">
        <f>$A$36*(J26/J33)+(1-$A$36)*C36</f>
        <v>1.0441898795147595</v>
      </c>
      <c r="K36" s="232">
        <f t="shared" ref="K36:Z36" si="82">$A$36*(K26/K33)+(1-$A$36)*D36</f>
        <v>1.3960006783360301</v>
      </c>
      <c r="L36" s="232">
        <f t="shared" si="82"/>
        <v>1.1743619166632109</v>
      </c>
      <c r="M36" s="232">
        <f t="shared" si="82"/>
        <v>1.0461505681134313</v>
      </c>
      <c r="N36" s="232">
        <f t="shared" si="82"/>
        <v>0.90346947108120057</v>
      </c>
      <c r="O36" s="232">
        <f t="shared" si="82"/>
        <v>0.7304158952463311</v>
      </c>
      <c r="P36" s="232">
        <f t="shared" si="82"/>
        <v>0.59854822380710537</v>
      </c>
      <c r="Q36" s="232">
        <f t="shared" si="82"/>
        <v>1.0696039926063829</v>
      </c>
      <c r="R36" s="232">
        <f t="shared" si="82"/>
        <v>1.2532071398525364</v>
      </c>
      <c r="S36" s="232">
        <f t="shared" si="82"/>
        <v>1.20148585808591</v>
      </c>
      <c r="T36" s="232">
        <f t="shared" si="82"/>
        <v>1.1153364500520517</v>
      </c>
      <c r="U36" s="232">
        <f t="shared" si="82"/>
        <v>0.87063250368088774</v>
      </c>
      <c r="V36" s="232">
        <f t="shared" si="82"/>
        <v>0.6857129246351914</v>
      </c>
      <c r="W36" s="232">
        <f t="shared" si="82"/>
        <v>0.63000830109609129</v>
      </c>
      <c r="X36" s="232">
        <f t="shared" si="82"/>
        <v>1.0927533332329475</v>
      </c>
      <c r="Y36" s="232">
        <f t="shared" si="82"/>
        <v>1.1740061197105187</v>
      </c>
      <c r="Z36" s="232">
        <f t="shared" si="82"/>
        <v>1.2338754168600761</v>
      </c>
      <c r="AA36" s="232">
        <f t="shared" ref="AA36" si="83">$A$36*(AA26/AA33)+(1-$A$36)*T36</f>
        <v>1.1098692308952136</v>
      </c>
      <c r="AB36" s="232">
        <f t="shared" ref="AB36" si="84">$A$36*(AB26/AB33)+(1-$A$36)*U36</f>
        <v>0.92814654877808889</v>
      </c>
      <c r="AC36" s="232">
        <f t="shared" ref="AC36" si="85">$A$36*(AC26/AC33)+(1-$A$36)*V36</f>
        <v>0.67680235042876313</v>
      </c>
      <c r="AD36" s="232">
        <f t="shared" ref="AD36" si="86">$A$36*(AD26/AD33)+(1-$A$36)*W36</f>
        <v>0.61342759151259951</v>
      </c>
      <c r="AE36" s="232">
        <f t="shared" ref="AE36" si="87">$A$36*(AE26/AE33)+(1-$A$36)*X36</f>
        <v>1.0571207923985231</v>
      </c>
      <c r="AF36" s="232">
        <f t="shared" ref="AF36" si="88">$A$36*(AF26/AF33)+(1-$A$36)*Y36</f>
        <v>1.1273232552055865</v>
      </c>
      <c r="AG36" s="232">
        <f t="shared" ref="AG36" si="89">$A$36*(AG26/AG33)+(1-$A$36)*Z36</f>
        <v>1.219393372938175</v>
      </c>
      <c r="AH36" s="232">
        <f t="shared" ref="AH36" si="90">$A$36*(AH26/AH33)+(1-$A$36)*AA36</f>
        <v>1.1259686314773303</v>
      </c>
      <c r="AI36" s="232">
        <f t="shared" ref="AI36" si="91">$A$36*(AI26/AI33)+(1-$A$36)*AB36</f>
        <v>0.95385503555461004</v>
      </c>
      <c r="AJ36" s="232">
        <f t="shared" ref="AJ36" si="92">$A$36*(AJ26/AJ33)+(1-$A$36)*AC36</f>
        <v>0.64829759001343601</v>
      </c>
      <c r="AK36" s="232">
        <f t="shared" ref="AK36" si="93">$A$36*(AK26/AK33)+(1-$A$36)*AD36</f>
        <v>0.64632144525245672</v>
      </c>
      <c r="AL36" s="232">
        <f t="shared" ref="AL36" si="94">$A$36*(AL26/AL33)+(1-$A$36)*AE36</f>
        <v>1.2212733579785358</v>
      </c>
      <c r="AM36" s="232">
        <f t="shared" ref="AM36" si="95">$A$36*(AM26/AM33)+(1-$A$36)*AF36</f>
        <v>1.1524533844645106</v>
      </c>
      <c r="AN36" s="232">
        <f t="shared" ref="AN36" si="96">$A$36*(AN26/AN33)+(1-$A$36)*AG36</f>
        <v>1.2184854046420299</v>
      </c>
      <c r="AO36" s="232">
        <f t="shared" ref="AO36" si="97">$A$36*(AO26/AO33)+(1-$A$36)*AH36</f>
        <v>1.0959799536601067</v>
      </c>
      <c r="AP36" s="232">
        <f t="shared" ref="AP36" si="98">$A$36*(AP26/AP33)+(1-$A$36)*AI36</f>
        <v>0.93012905605371166</v>
      </c>
      <c r="AQ36" s="232">
        <f t="shared" ref="AQ36" si="99">$A$36*(AQ26/AQ33)+(1-$A$36)*AJ36</f>
        <v>0.6281249743122268</v>
      </c>
      <c r="AR36" s="232">
        <f t="shared" ref="AR36" si="100">$A$36*(AR26/AR33)+(1-$A$36)*AK36</f>
        <v>0.66068025659058116</v>
      </c>
      <c r="AS36" s="232">
        <f t="shared" ref="AS36" si="101">$A$36*(AS26/AS33)+(1-$A$36)*AL36</f>
        <v>1.192452127399471</v>
      </c>
      <c r="AT36" s="232">
        <f t="shared" ref="AT36" si="102">$A$36*(AT26/AT33)+(1-$A$36)*AM36</f>
        <v>1.0629751206748679</v>
      </c>
      <c r="AU36" s="232">
        <f t="shared" ref="AU36" si="103">$A$36*(AU26/AU33)+(1-$A$36)*AN36</f>
        <v>1.2197208524180936</v>
      </c>
      <c r="AV36" s="232">
        <f t="shared" ref="AV36" si="104">$A$36*(AV26/AV33)+(1-$A$36)*AO36</f>
        <v>1.1618288575497937</v>
      </c>
      <c r="AW36" s="232">
        <f t="shared" ref="AW36" si="105">$A$36*(AW26/AW33)+(1-$A$36)*AP36</f>
        <v>0.89064728255656367</v>
      </c>
      <c r="AX36" s="232">
        <f t="shared" ref="AX36" si="106">$A$36*(AX26/AX33)+(1-$A$36)*AQ36</f>
        <v>0.64757590317047387</v>
      </c>
      <c r="AY36" s="232">
        <f t="shared" ref="AY36" si="107">$A$36*(AY26/AY33)+(1-$A$36)*AR36</f>
        <v>0.61114250390453284</v>
      </c>
      <c r="AZ36" s="181"/>
      <c r="BA36" s="181"/>
      <c r="BB36" s="181"/>
      <c r="BC36" s="181"/>
      <c r="BD36" s="181"/>
      <c r="BE36" s="181"/>
      <c r="BF36" s="182"/>
    </row>
    <row r="37" spans="1:58" ht="16" thickBot="1" x14ac:dyDescent="0.25">
      <c r="A37" s="174"/>
      <c r="B37" s="170" t="s">
        <v>65</v>
      </c>
      <c r="C37" s="183"/>
      <c r="D37" s="183"/>
      <c r="E37" s="183"/>
      <c r="F37" s="183"/>
      <c r="G37" s="183"/>
      <c r="H37" s="183"/>
      <c r="I37" s="234">
        <f>(I33+I34*I35)*C36</f>
        <v>1619.6826086956523</v>
      </c>
      <c r="J37" s="234">
        <f t="shared" ref="J37:Z37" si="108">(J33+J34*J35)*D36</f>
        <v>2656.0388606267934</v>
      </c>
      <c r="K37" s="234">
        <f t="shared" si="108"/>
        <v>2081.4052428469427</v>
      </c>
      <c r="L37" s="234">
        <f t="shared" si="108"/>
        <v>1803.1789301093859</v>
      </c>
      <c r="M37" s="234">
        <f t="shared" si="108"/>
        <v>1807.3610140873443</v>
      </c>
      <c r="N37" s="234">
        <f t="shared" si="108"/>
        <v>1265.8588963173822</v>
      </c>
      <c r="O37" s="234">
        <f t="shared" si="108"/>
        <v>770.72859148747659</v>
      </c>
      <c r="P37" s="234">
        <f t="shared" si="108"/>
        <v>1756.4747566921751</v>
      </c>
      <c r="Q37" s="234">
        <f t="shared" si="108"/>
        <v>2493.2915608145054</v>
      </c>
      <c r="R37" s="234">
        <f t="shared" si="108"/>
        <v>1769.3273437380797</v>
      </c>
      <c r="S37" s="234">
        <f t="shared" si="108"/>
        <v>1631.7317784219829</v>
      </c>
      <c r="T37" s="234">
        <f t="shared" si="108"/>
        <v>1612.1597489127541</v>
      </c>
      <c r="U37" s="234">
        <f t="shared" si="108"/>
        <v>1236.9975225680516</v>
      </c>
      <c r="V37" s="234">
        <f t="shared" si="108"/>
        <v>907.70014712101499</v>
      </c>
      <c r="W37" s="234">
        <f t="shared" si="108"/>
        <v>1787.2382360749993</v>
      </c>
      <c r="X37" s="234">
        <f t="shared" si="108"/>
        <v>2199.1257339989816</v>
      </c>
      <c r="Y37" s="234">
        <f t="shared" si="108"/>
        <v>1892.9023985338358</v>
      </c>
      <c r="Z37" s="234">
        <f t="shared" si="108"/>
        <v>1842.8675632447084</v>
      </c>
      <c r="AA37" s="234">
        <f t="shared" ref="AA37" si="109">(AA33+AA34*AA35)*U36</f>
        <v>1426.9179533082693</v>
      </c>
      <c r="AB37" s="234">
        <f t="shared" ref="AB37" si="110">(AB33+AB34*AB35)*V36</f>
        <v>1290.7229795429905</v>
      </c>
      <c r="AC37" s="234">
        <f t="shared" ref="AC37" si="111">(AC33+AC34*AC35)*W36</f>
        <v>1181.2757222198661</v>
      </c>
      <c r="AD37" s="234">
        <f t="shared" ref="AD37" si="112">(AD33+AD34*AD35)*X36</f>
        <v>1981.2485090843379</v>
      </c>
      <c r="AE37" s="234">
        <f t="shared" ref="AE37" si="113">(AE33+AE34*AE35)*Y36</f>
        <v>2016.6897692699176</v>
      </c>
      <c r="AF37" s="234">
        <f t="shared" ref="AF37" si="114">(AF33+AF34*AF35)*Z36</f>
        <v>1959.1792412356453</v>
      </c>
      <c r="AG37" s="234">
        <f t="shared" ref="AG37" si="115">(AG33+AG34*AG35)*AA36</f>
        <v>1695.9646533047066</v>
      </c>
      <c r="AH37" s="234">
        <f t="shared" ref="AH37" si="116">(AH33+AH34*AH35)*AB36</f>
        <v>1433.2633373642909</v>
      </c>
      <c r="AI37" s="234">
        <f t="shared" ref="AI37" si="117">(AI33+AI34*AI35)*AC36</f>
        <v>1091.1365678202978</v>
      </c>
      <c r="AJ37" s="234">
        <f t="shared" ref="AJ37" si="118">(AJ33+AJ34*AJ35)*AD36</f>
        <v>906.97383747210722</v>
      </c>
      <c r="AK37" s="234">
        <f t="shared" ref="AK37" si="119">(AK33+AK34*AK35)*AE36</f>
        <v>1717.5560717742399</v>
      </c>
      <c r="AL37" s="234">
        <f t="shared" ref="AL37" si="120">(AL33+AL34*AL35)*AF36</f>
        <v>2600.3240893022135</v>
      </c>
      <c r="AM37" s="234">
        <f t="shared" ref="AM37" si="121">(AM33+AM34*AM35)*AG36</f>
        <v>3082.6417006019087</v>
      </c>
      <c r="AN37" s="234">
        <f t="shared" ref="AN37" si="122">(AN33+AN34*AN35)*AH36</f>
        <v>2991.2749832125019</v>
      </c>
      <c r="AO37" s="234">
        <f t="shared" ref="AO37" si="123">(AO33+AO34*AO35)*AI36</f>
        <v>2530.4550182340181</v>
      </c>
      <c r="AP37" s="234">
        <f t="shared" ref="AP37" si="124">(AP33+AP34*AP35)*AJ36</f>
        <v>1708.4670714494569</v>
      </c>
      <c r="AQ37" s="234">
        <f t="shared" ref="AQ37" si="125">(AQ33+AQ34*AQ35)*AK36</f>
        <v>1659.3904574632184</v>
      </c>
      <c r="AR37" s="234">
        <f t="shared" ref="AR37" si="126">(AR33+AR34*AR35)*AL36</f>
        <v>3356.0077383045805</v>
      </c>
      <c r="AS37" s="234">
        <f t="shared" ref="AS37" si="127">(AS33+AS34*AS35)*AM36</f>
        <v>3117.3471567742499</v>
      </c>
      <c r="AT37" s="234">
        <f t="shared" ref="AT37" si="128">(AT33+AT34*AT35)*AN36</f>
        <v>2917.1242008869931</v>
      </c>
      <c r="AU37" s="234">
        <f t="shared" ref="AU37" si="129">(AU33+AU34*AU35)*AO36</f>
        <v>2628.09056231055</v>
      </c>
      <c r="AV37" s="234">
        <f t="shared" ref="AV37" si="130">(AV33+AV34*AV35)*AP36</f>
        <v>2528.0676280637599</v>
      </c>
      <c r="AW37" s="234">
        <f t="shared" ref="AW37" si="131">(AW33+AW34*AW35)*AQ36</f>
        <v>1605.2819096955989</v>
      </c>
      <c r="AX37" s="234">
        <f t="shared" ref="AX37" si="132">(AX33+AX34*AX35)*AR36</f>
        <v>1810.1626263118706</v>
      </c>
      <c r="AY37" s="234">
        <f t="shared" ref="AY37" si="133">(AY33+AY34*AY35)*AS36</f>
        <v>2885.3949976125255</v>
      </c>
      <c r="AZ37" s="235">
        <f t="shared" ref="AZ37" si="134">(AZ33+AZ34*AZ35)*AT36</f>
        <v>2555.3277979629893</v>
      </c>
      <c r="BA37" s="235">
        <f t="shared" ref="BA37" si="135">(BA33+BA34*BA35)*AU36</f>
        <v>2912.8925271514981</v>
      </c>
      <c r="BB37" s="235">
        <f t="shared" ref="BB37" si="136">(BB33+BB34*BB35)*AV36</f>
        <v>2756.3077908024984</v>
      </c>
      <c r="BC37" s="235">
        <f t="shared" ref="BC37" si="137">(BC33+BC34*BC35)*AW36</f>
        <v>2098.9091247974443</v>
      </c>
      <c r="BD37" s="235">
        <f t="shared" ref="BD37" si="138">(BD33+BD34*BD35)*AX36</f>
        <v>1515.8681914386102</v>
      </c>
      <c r="BE37" s="235">
        <f t="shared" ref="BE37" si="139">(BE33+BE34*BE35)*AY36</f>
        <v>1420.9421399740543</v>
      </c>
      <c r="BF37" s="184"/>
    </row>
    <row r="38" spans="1:58" ht="16" thickBot="1" x14ac:dyDescent="0.25"/>
    <row r="39" spans="1:58" x14ac:dyDescent="0.2">
      <c r="B39" s="176" t="s">
        <v>68</v>
      </c>
      <c r="C39" s="185"/>
      <c r="D39" s="185"/>
      <c r="E39" s="185"/>
      <c r="F39" s="185"/>
      <c r="G39" s="185"/>
      <c r="H39" s="185"/>
      <c r="I39" s="185"/>
      <c r="J39" s="236">
        <f>I30</f>
        <v>1576</v>
      </c>
      <c r="K39" s="236">
        <f t="shared" ref="K39:BF39" si="140">J30</f>
        <v>2432.9138324873097</v>
      </c>
      <c r="L39" s="236">
        <f t="shared" si="140"/>
        <v>1956.2892232221911</v>
      </c>
      <c r="M39" s="236">
        <f t="shared" si="140"/>
        <v>1704.114163356767</v>
      </c>
      <c r="N39" s="236">
        <f t="shared" si="140"/>
        <v>1679.8201884605903</v>
      </c>
      <c r="O39" s="236">
        <f t="shared" si="140"/>
        <v>1264.2211727226961</v>
      </c>
      <c r="P39" s="236">
        <f t="shared" si="140"/>
        <v>825.22787521184398</v>
      </c>
      <c r="Q39" s="236">
        <f t="shared" si="140"/>
        <v>1702.6141031267525</v>
      </c>
      <c r="R39" s="236">
        <f t="shared" si="140"/>
        <v>2429.6546092799499</v>
      </c>
      <c r="S39" s="236">
        <f t="shared" si="140"/>
        <v>1853.6053639960271</v>
      </c>
      <c r="T39" s="236">
        <f t="shared" si="140"/>
        <v>1656.3262038716521</v>
      </c>
      <c r="U39" s="236">
        <f t="shared" si="140"/>
        <v>1568.8365173241177</v>
      </c>
      <c r="V39" s="236">
        <f t="shared" si="140"/>
        <v>1209.1266399033905</v>
      </c>
      <c r="W39" s="236">
        <f t="shared" si="140"/>
        <v>899.7851453396197</v>
      </c>
      <c r="X39" s="236">
        <f t="shared" si="140"/>
        <v>1760.8799054568899</v>
      </c>
      <c r="Y39" s="236">
        <f t="shared" si="140"/>
        <v>2247.8680961052432</v>
      </c>
      <c r="Z39" s="236">
        <f t="shared" si="140"/>
        <v>1902.7483418831666</v>
      </c>
      <c r="AA39" s="236">
        <f t="shared" si="140"/>
        <v>1806.5683671225599</v>
      </c>
      <c r="AB39" s="236">
        <f t="shared" si="140"/>
        <v>1488.3191282125081</v>
      </c>
      <c r="AC39" s="236">
        <f t="shared" si="140"/>
        <v>1222.2136439866881</v>
      </c>
      <c r="AD39" s="236">
        <f t="shared" si="140"/>
        <v>1050.5227495394417</v>
      </c>
      <c r="AE39" s="236">
        <f t="shared" si="140"/>
        <v>1908.6829607368643</v>
      </c>
      <c r="AF39" s="236">
        <f t="shared" si="140"/>
        <v>2149.7965291697806</v>
      </c>
      <c r="AG39" s="236">
        <f t="shared" si="140"/>
        <v>1983.6346765692067</v>
      </c>
      <c r="AH39" s="236">
        <f t="shared" si="140"/>
        <v>1771.2431540839018</v>
      </c>
      <c r="AI39" s="236">
        <f t="shared" si="140"/>
        <v>1524.6948114284762</v>
      </c>
      <c r="AJ39" s="236">
        <f t="shared" si="140"/>
        <v>1144.9311949655737</v>
      </c>
      <c r="AK39" s="236">
        <f t="shared" si="140"/>
        <v>934.36288568507359</v>
      </c>
      <c r="AL39" s="236">
        <f t="shared" si="140"/>
        <v>1720.9193345158965</v>
      </c>
      <c r="AM39" s="236">
        <f t="shared" si="140"/>
        <v>2321.5002667394647</v>
      </c>
      <c r="AN39" s="236">
        <f t="shared" si="140"/>
        <v>2488.5008559107691</v>
      </c>
      <c r="AO39" s="236">
        <f t="shared" si="140"/>
        <v>2449.0826089814395</v>
      </c>
      <c r="AP39" s="236">
        <f t="shared" si="140"/>
        <v>2193.0627751910479</v>
      </c>
      <c r="AQ39" s="236">
        <f t="shared" si="140"/>
        <v>1576.2607809985939</v>
      </c>
      <c r="AR39" s="236">
        <f t="shared" si="140"/>
        <v>1462.7378768019869</v>
      </c>
      <c r="AS39" s="236">
        <f t="shared" si="140"/>
        <v>3013.3367087982001</v>
      </c>
      <c r="AT39" s="236">
        <f t="shared" si="140"/>
        <v>3115.9599283877933</v>
      </c>
      <c r="AU39" s="236">
        <f t="shared" si="140"/>
        <v>2946.8774663671816</v>
      </c>
      <c r="AV39" s="236">
        <f t="shared" si="140"/>
        <v>2636.2355250599708</v>
      </c>
      <c r="AW39" s="236">
        <f t="shared" si="140"/>
        <v>2399.3681626254488</v>
      </c>
      <c r="AX39" s="236">
        <f t="shared" si="140"/>
        <v>1616.1283604628611</v>
      </c>
      <c r="AY39" s="236">
        <f t="shared" si="140"/>
        <v>1644.6724477845296</v>
      </c>
      <c r="AZ39" s="237">
        <f t="shared" si="140"/>
        <v>2913.082696034875</v>
      </c>
      <c r="BA39" s="237">
        <f t="shared" si="140"/>
        <v>2786.3015596688638</v>
      </c>
      <c r="BB39" s="237">
        <f t="shared" si="140"/>
        <v>3005.5372337920958</v>
      </c>
      <c r="BC39" s="237">
        <f t="shared" si="140"/>
        <v>2834.3747952759991</v>
      </c>
      <c r="BD39" s="237">
        <f t="shared" si="140"/>
        <v>2255.2703911451254</v>
      </c>
      <c r="BE39" s="237">
        <f t="shared" si="140"/>
        <v>1631.8133580934082</v>
      </c>
      <c r="BF39" s="238">
        <f t="shared" si="140"/>
        <v>1515.6859637419609</v>
      </c>
    </row>
    <row r="40" spans="1:58" ht="16" thickBot="1" x14ac:dyDescent="0.25">
      <c r="B40" s="170" t="s">
        <v>69</v>
      </c>
      <c r="C40" s="183"/>
      <c r="D40" s="183"/>
      <c r="E40" s="183"/>
      <c r="F40" s="183"/>
      <c r="G40" s="183"/>
      <c r="H40" s="183"/>
      <c r="I40" s="183"/>
      <c r="J40" s="234">
        <f>I37</f>
        <v>1619.6826086956523</v>
      </c>
      <c r="K40" s="234">
        <f t="shared" ref="K40:BF40" si="141">J37</f>
        <v>2656.0388606267934</v>
      </c>
      <c r="L40" s="234">
        <f t="shared" si="141"/>
        <v>2081.4052428469427</v>
      </c>
      <c r="M40" s="234">
        <f t="shared" si="141"/>
        <v>1803.1789301093859</v>
      </c>
      <c r="N40" s="234">
        <f t="shared" si="141"/>
        <v>1807.3610140873443</v>
      </c>
      <c r="O40" s="234">
        <f t="shared" si="141"/>
        <v>1265.8588963173822</v>
      </c>
      <c r="P40" s="234">
        <f t="shared" si="141"/>
        <v>770.72859148747659</v>
      </c>
      <c r="Q40" s="234">
        <f t="shared" si="141"/>
        <v>1756.4747566921751</v>
      </c>
      <c r="R40" s="234">
        <f t="shared" si="141"/>
        <v>2493.2915608145054</v>
      </c>
      <c r="S40" s="234">
        <f t="shared" si="141"/>
        <v>1769.3273437380797</v>
      </c>
      <c r="T40" s="234">
        <f t="shared" si="141"/>
        <v>1631.7317784219829</v>
      </c>
      <c r="U40" s="234">
        <f t="shared" si="141"/>
        <v>1612.1597489127541</v>
      </c>
      <c r="V40" s="234">
        <f t="shared" si="141"/>
        <v>1236.9975225680516</v>
      </c>
      <c r="W40" s="234">
        <f t="shared" si="141"/>
        <v>907.70014712101499</v>
      </c>
      <c r="X40" s="234">
        <f t="shared" si="141"/>
        <v>1787.2382360749993</v>
      </c>
      <c r="Y40" s="234">
        <f t="shared" si="141"/>
        <v>2199.1257339989816</v>
      </c>
      <c r="Z40" s="234">
        <f t="shared" si="141"/>
        <v>1892.9023985338358</v>
      </c>
      <c r="AA40" s="234">
        <f t="shared" si="141"/>
        <v>1842.8675632447084</v>
      </c>
      <c r="AB40" s="234">
        <f t="shared" si="141"/>
        <v>1426.9179533082693</v>
      </c>
      <c r="AC40" s="234">
        <f t="shared" si="141"/>
        <v>1290.7229795429905</v>
      </c>
      <c r="AD40" s="234">
        <f t="shared" si="141"/>
        <v>1181.2757222198661</v>
      </c>
      <c r="AE40" s="234">
        <f t="shared" si="141"/>
        <v>1981.2485090843379</v>
      </c>
      <c r="AF40" s="234">
        <f t="shared" si="141"/>
        <v>2016.6897692699176</v>
      </c>
      <c r="AG40" s="234">
        <f t="shared" si="141"/>
        <v>1959.1792412356453</v>
      </c>
      <c r="AH40" s="234">
        <f t="shared" si="141"/>
        <v>1695.9646533047066</v>
      </c>
      <c r="AI40" s="234">
        <f t="shared" si="141"/>
        <v>1433.2633373642909</v>
      </c>
      <c r="AJ40" s="234">
        <f t="shared" si="141"/>
        <v>1091.1365678202978</v>
      </c>
      <c r="AK40" s="234">
        <f t="shared" si="141"/>
        <v>906.97383747210722</v>
      </c>
      <c r="AL40" s="234">
        <f t="shared" si="141"/>
        <v>1717.5560717742399</v>
      </c>
      <c r="AM40" s="234">
        <f t="shared" si="141"/>
        <v>2600.3240893022135</v>
      </c>
      <c r="AN40" s="234">
        <f t="shared" si="141"/>
        <v>3082.6417006019087</v>
      </c>
      <c r="AO40" s="234">
        <f t="shared" si="141"/>
        <v>2991.2749832125019</v>
      </c>
      <c r="AP40" s="234">
        <f t="shared" si="141"/>
        <v>2530.4550182340181</v>
      </c>
      <c r="AQ40" s="234">
        <f t="shared" si="141"/>
        <v>1708.4670714494569</v>
      </c>
      <c r="AR40" s="234">
        <f t="shared" si="141"/>
        <v>1659.3904574632184</v>
      </c>
      <c r="AS40" s="234">
        <f t="shared" si="141"/>
        <v>3356.0077383045805</v>
      </c>
      <c r="AT40" s="234">
        <f t="shared" si="141"/>
        <v>3117.3471567742499</v>
      </c>
      <c r="AU40" s="234">
        <f t="shared" si="141"/>
        <v>2917.1242008869931</v>
      </c>
      <c r="AV40" s="234">
        <f t="shared" si="141"/>
        <v>2628.09056231055</v>
      </c>
      <c r="AW40" s="234">
        <f t="shared" si="141"/>
        <v>2528.0676280637599</v>
      </c>
      <c r="AX40" s="234">
        <f t="shared" si="141"/>
        <v>1605.2819096955989</v>
      </c>
      <c r="AY40" s="234">
        <f t="shared" si="141"/>
        <v>1810.1626263118706</v>
      </c>
      <c r="AZ40" s="235">
        <f t="shared" si="141"/>
        <v>2885.3949976125255</v>
      </c>
      <c r="BA40" s="235">
        <f t="shared" si="141"/>
        <v>2555.3277979629893</v>
      </c>
      <c r="BB40" s="235">
        <f t="shared" si="141"/>
        <v>2912.8925271514981</v>
      </c>
      <c r="BC40" s="235">
        <f t="shared" si="141"/>
        <v>2756.3077908024984</v>
      </c>
      <c r="BD40" s="235">
        <f t="shared" si="141"/>
        <v>2098.9091247974443</v>
      </c>
      <c r="BE40" s="235">
        <f t="shared" si="141"/>
        <v>1515.8681914386102</v>
      </c>
      <c r="BF40" s="239">
        <f t="shared" si="141"/>
        <v>1420.9421399740543</v>
      </c>
    </row>
    <row r="43" spans="1:58" ht="16" thickBot="1" x14ac:dyDescent="0.25"/>
    <row r="44" spans="1:58" x14ac:dyDescent="0.2">
      <c r="B44" s="176" t="s">
        <v>70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5"/>
      <c r="AT44" s="185"/>
      <c r="AU44" s="185"/>
      <c r="AV44" s="185"/>
      <c r="AW44" s="185"/>
      <c r="AX44" s="185"/>
      <c r="AY44" s="185"/>
      <c r="AZ44" s="186"/>
      <c r="BA44" s="186"/>
      <c r="BB44" s="186"/>
      <c r="BC44" s="186"/>
      <c r="BD44" s="186"/>
      <c r="BE44" s="186"/>
      <c r="BF44" s="187"/>
    </row>
    <row r="45" spans="1:58" x14ac:dyDescent="0.2">
      <c r="B45" s="169" t="s">
        <v>34</v>
      </c>
      <c r="C45" s="180"/>
      <c r="D45" s="180"/>
      <c r="E45" s="180"/>
      <c r="F45" s="180"/>
      <c r="G45" s="180"/>
      <c r="H45" s="180"/>
      <c r="I45" s="180"/>
      <c r="J45" s="232">
        <f>J2-J39</f>
        <v>306</v>
      </c>
      <c r="K45" s="232">
        <f t="shared" ref="K45:BE45" si="142">K2-K39</f>
        <v>-126.91383248730972</v>
      </c>
      <c r="L45" s="232">
        <f t="shared" si="142"/>
        <v>31.71077677780886</v>
      </c>
      <c r="M45" s="232">
        <f t="shared" si="142"/>
        <v>181.88583664323301</v>
      </c>
      <c r="N45" s="232">
        <f t="shared" si="142"/>
        <v>-314.82018846059032</v>
      </c>
      <c r="O45" s="232">
        <f t="shared" si="142"/>
        <v>-266.22117272269611</v>
      </c>
      <c r="P45" s="232">
        <f t="shared" si="142"/>
        <v>226.77212478815602</v>
      </c>
      <c r="Q45" s="232">
        <f t="shared" si="142"/>
        <v>202.38589687324748</v>
      </c>
      <c r="R45" s="232">
        <f t="shared" si="142"/>
        <v>-662.65460927994991</v>
      </c>
      <c r="S45" s="232">
        <f t="shared" si="142"/>
        <v>57.394636003972892</v>
      </c>
      <c r="T45" s="232">
        <f t="shared" si="142"/>
        <v>379.67379612834793</v>
      </c>
      <c r="U45" s="232">
        <f t="shared" si="142"/>
        <v>-140.83651732411772</v>
      </c>
      <c r="V45" s="232">
        <f t="shared" si="142"/>
        <v>-201.12663990339047</v>
      </c>
      <c r="W45" s="232">
        <f t="shared" si="142"/>
        <v>182.2148546603803</v>
      </c>
      <c r="X45" s="232">
        <f t="shared" si="142"/>
        <v>160.1200945431101</v>
      </c>
      <c r="Y45" s="232">
        <f t="shared" si="142"/>
        <v>-467.86809610524324</v>
      </c>
      <c r="Z45" s="232">
        <f t="shared" si="142"/>
        <v>168.25165811683337</v>
      </c>
      <c r="AA45" s="232">
        <f t="shared" si="142"/>
        <v>6.4316328774400517</v>
      </c>
      <c r="AB45" s="232">
        <f t="shared" si="142"/>
        <v>291.68087178749192</v>
      </c>
      <c r="AC45" s="232">
        <f t="shared" si="142"/>
        <v>13.786356013311888</v>
      </c>
      <c r="AD45" s="232">
        <f t="shared" si="142"/>
        <v>31.477250460558253</v>
      </c>
      <c r="AE45" s="232">
        <f t="shared" si="142"/>
        <v>-131.68296073686429</v>
      </c>
      <c r="AF45" s="232">
        <f t="shared" si="142"/>
        <v>-383.79652916978057</v>
      </c>
      <c r="AG45" s="232">
        <f t="shared" si="142"/>
        <v>-99.634676569206704</v>
      </c>
      <c r="AH45" s="232">
        <f t="shared" si="142"/>
        <v>8.7568459160982002</v>
      </c>
      <c r="AI45" s="232">
        <f t="shared" si="142"/>
        <v>47.305188571523786</v>
      </c>
      <c r="AJ45" s="232">
        <f t="shared" si="142"/>
        <v>-196.9311949655737</v>
      </c>
      <c r="AK45" s="232">
        <f t="shared" si="142"/>
        <v>150.63711431492641</v>
      </c>
      <c r="AL45" s="232">
        <f t="shared" si="142"/>
        <v>1196.0806654841035</v>
      </c>
      <c r="AM45" s="232">
        <f t="shared" si="142"/>
        <v>479.49973326053532</v>
      </c>
      <c r="AN45" s="232">
        <f t="shared" si="142"/>
        <v>586.49914408923087</v>
      </c>
      <c r="AO45" s="232">
        <f t="shared" si="142"/>
        <v>287.91739101856047</v>
      </c>
      <c r="AP45" s="232">
        <f t="shared" si="142"/>
        <v>135.93722480895212</v>
      </c>
      <c r="AQ45" s="232">
        <f t="shared" si="142"/>
        <v>-36.260780998593873</v>
      </c>
      <c r="AR45" s="232">
        <f t="shared" si="142"/>
        <v>324.26212319801311</v>
      </c>
      <c r="AS45" s="232">
        <f t="shared" si="142"/>
        <v>88.663291201799893</v>
      </c>
      <c r="AT45" s="232">
        <f t="shared" si="142"/>
        <v>-712.9599283877933</v>
      </c>
      <c r="AU45" s="232">
        <f t="shared" si="142"/>
        <v>-19.877466367181569</v>
      </c>
      <c r="AV45" s="232">
        <f t="shared" si="142"/>
        <v>576.76447494002923</v>
      </c>
      <c r="AW45" s="232">
        <f t="shared" si="142"/>
        <v>-205.3681626254488</v>
      </c>
      <c r="AX45" s="232">
        <f t="shared" si="142"/>
        <v>163.87163953713889</v>
      </c>
      <c r="AY45" s="232">
        <f t="shared" si="142"/>
        <v>-236.6724477845296</v>
      </c>
      <c r="AZ45" s="233">
        <f t="shared" si="142"/>
        <v>6.9173039651250292</v>
      </c>
      <c r="BA45" s="233">
        <f t="shared" si="142"/>
        <v>-139.30155966886377</v>
      </c>
      <c r="BB45" s="233">
        <f t="shared" si="142"/>
        <v>14.462766207904224</v>
      </c>
      <c r="BC45" s="233">
        <f t="shared" si="142"/>
        <v>-496.37479527599908</v>
      </c>
      <c r="BD45" s="233">
        <f t="shared" si="142"/>
        <v>694.72960885487464</v>
      </c>
      <c r="BE45" s="233">
        <f t="shared" si="142"/>
        <v>-30.813358093408169</v>
      </c>
      <c r="BF45" s="240">
        <f t="shared" ref="BF45" si="143">BF2-BF39</f>
        <v>99.314036258039096</v>
      </c>
    </row>
    <row r="46" spans="1:58" x14ac:dyDescent="0.2">
      <c r="B46" s="169" t="s">
        <v>35</v>
      </c>
      <c r="C46" s="180"/>
      <c r="D46" s="180"/>
      <c r="E46" s="180"/>
      <c r="F46" s="180"/>
      <c r="G46" s="180"/>
      <c r="H46" s="180"/>
      <c r="I46" s="180"/>
      <c r="J46" s="232">
        <f>ABS(J45)</f>
        <v>306</v>
      </c>
      <c r="K46" s="232">
        <f t="shared" ref="K46:BE46" si="144">ABS(K45)</f>
        <v>126.91383248730972</v>
      </c>
      <c r="L46" s="232">
        <f t="shared" si="144"/>
        <v>31.71077677780886</v>
      </c>
      <c r="M46" s="232">
        <f t="shared" si="144"/>
        <v>181.88583664323301</v>
      </c>
      <c r="N46" s="232">
        <f t="shared" si="144"/>
        <v>314.82018846059032</v>
      </c>
      <c r="O46" s="232">
        <f t="shared" si="144"/>
        <v>266.22117272269611</v>
      </c>
      <c r="P46" s="232">
        <f t="shared" si="144"/>
        <v>226.77212478815602</v>
      </c>
      <c r="Q46" s="232">
        <f t="shared" si="144"/>
        <v>202.38589687324748</v>
      </c>
      <c r="R46" s="232">
        <f t="shared" si="144"/>
        <v>662.65460927994991</v>
      </c>
      <c r="S46" s="232">
        <f t="shared" si="144"/>
        <v>57.394636003972892</v>
      </c>
      <c r="T46" s="232">
        <f t="shared" si="144"/>
        <v>379.67379612834793</v>
      </c>
      <c r="U46" s="232">
        <f t="shared" si="144"/>
        <v>140.83651732411772</v>
      </c>
      <c r="V46" s="232">
        <f t="shared" si="144"/>
        <v>201.12663990339047</v>
      </c>
      <c r="W46" s="232">
        <f t="shared" si="144"/>
        <v>182.2148546603803</v>
      </c>
      <c r="X46" s="232">
        <f t="shared" si="144"/>
        <v>160.1200945431101</v>
      </c>
      <c r="Y46" s="232">
        <f t="shared" si="144"/>
        <v>467.86809610524324</v>
      </c>
      <c r="Z46" s="232">
        <f t="shared" si="144"/>
        <v>168.25165811683337</v>
      </c>
      <c r="AA46" s="232">
        <f t="shared" si="144"/>
        <v>6.4316328774400517</v>
      </c>
      <c r="AB46" s="232">
        <f t="shared" si="144"/>
        <v>291.68087178749192</v>
      </c>
      <c r="AC46" s="232">
        <f t="shared" si="144"/>
        <v>13.786356013311888</v>
      </c>
      <c r="AD46" s="232">
        <f t="shared" si="144"/>
        <v>31.477250460558253</v>
      </c>
      <c r="AE46" s="232">
        <f t="shared" si="144"/>
        <v>131.68296073686429</v>
      </c>
      <c r="AF46" s="232">
        <f t="shared" si="144"/>
        <v>383.79652916978057</v>
      </c>
      <c r="AG46" s="232">
        <f t="shared" si="144"/>
        <v>99.634676569206704</v>
      </c>
      <c r="AH46" s="232">
        <f t="shared" si="144"/>
        <v>8.7568459160982002</v>
      </c>
      <c r="AI46" s="232">
        <f t="shared" si="144"/>
        <v>47.305188571523786</v>
      </c>
      <c r="AJ46" s="232">
        <f t="shared" si="144"/>
        <v>196.9311949655737</v>
      </c>
      <c r="AK46" s="232">
        <f t="shared" si="144"/>
        <v>150.63711431492641</v>
      </c>
      <c r="AL46" s="232">
        <f t="shared" si="144"/>
        <v>1196.0806654841035</v>
      </c>
      <c r="AM46" s="232">
        <f t="shared" si="144"/>
        <v>479.49973326053532</v>
      </c>
      <c r="AN46" s="232">
        <f t="shared" si="144"/>
        <v>586.49914408923087</v>
      </c>
      <c r="AO46" s="232">
        <f t="shared" si="144"/>
        <v>287.91739101856047</v>
      </c>
      <c r="AP46" s="232">
        <f t="shared" si="144"/>
        <v>135.93722480895212</v>
      </c>
      <c r="AQ46" s="232">
        <f t="shared" si="144"/>
        <v>36.260780998593873</v>
      </c>
      <c r="AR46" s="232">
        <f t="shared" si="144"/>
        <v>324.26212319801311</v>
      </c>
      <c r="AS46" s="232">
        <f t="shared" si="144"/>
        <v>88.663291201799893</v>
      </c>
      <c r="AT46" s="232">
        <f t="shared" si="144"/>
        <v>712.9599283877933</v>
      </c>
      <c r="AU46" s="232">
        <f t="shared" si="144"/>
        <v>19.877466367181569</v>
      </c>
      <c r="AV46" s="232">
        <f t="shared" si="144"/>
        <v>576.76447494002923</v>
      </c>
      <c r="AW46" s="232">
        <f t="shared" si="144"/>
        <v>205.3681626254488</v>
      </c>
      <c r="AX46" s="232">
        <f t="shared" si="144"/>
        <v>163.87163953713889</v>
      </c>
      <c r="AY46" s="232">
        <f t="shared" si="144"/>
        <v>236.6724477845296</v>
      </c>
      <c r="AZ46" s="233">
        <f t="shared" si="144"/>
        <v>6.9173039651250292</v>
      </c>
      <c r="BA46" s="233">
        <f t="shared" si="144"/>
        <v>139.30155966886377</v>
      </c>
      <c r="BB46" s="233">
        <f t="shared" si="144"/>
        <v>14.462766207904224</v>
      </c>
      <c r="BC46" s="233">
        <f t="shared" si="144"/>
        <v>496.37479527599908</v>
      </c>
      <c r="BD46" s="233">
        <f t="shared" si="144"/>
        <v>694.72960885487464</v>
      </c>
      <c r="BE46" s="233">
        <f t="shared" si="144"/>
        <v>30.813358093408169</v>
      </c>
      <c r="BF46" s="240">
        <f t="shared" ref="BF46" si="145">ABS(BF45)</f>
        <v>99.314036258039096</v>
      </c>
    </row>
    <row r="47" spans="1:58" ht="16" thickBot="1" x14ac:dyDescent="0.25">
      <c r="B47" s="170" t="s">
        <v>36</v>
      </c>
      <c r="C47" s="183"/>
      <c r="D47" s="183"/>
      <c r="E47" s="183"/>
      <c r="F47" s="183"/>
      <c r="G47" s="183"/>
      <c r="H47" s="183"/>
      <c r="I47" s="183"/>
      <c r="J47" s="234">
        <f>J45^2</f>
        <v>93636</v>
      </c>
      <c r="K47" s="234">
        <f t="shared" ref="K47:BE47" si="146">K45^2</f>
        <v>16107.120876616911</v>
      </c>
      <c r="L47" s="234">
        <f t="shared" si="146"/>
        <v>1005.5733638520217</v>
      </c>
      <c r="M47" s="234">
        <f t="shared" si="146"/>
        <v>33082.457571408842</v>
      </c>
      <c r="N47" s="234">
        <f t="shared" si="146"/>
        <v>99111.751062361611</v>
      </c>
      <c r="O47" s="234">
        <f t="shared" si="146"/>
        <v>70873.712805847594</v>
      </c>
      <c r="P47" s="234">
        <f t="shared" si="146"/>
        <v>51425.596580935009</v>
      </c>
      <c r="Q47" s="234">
        <f t="shared" si="146"/>
        <v>40960.051253188765</v>
      </c>
      <c r="R47" s="234">
        <f t="shared" si="146"/>
        <v>439111.1311999631</v>
      </c>
      <c r="S47" s="234">
        <f t="shared" si="146"/>
        <v>3294.1442420285412</v>
      </c>
      <c r="T47" s="234">
        <f t="shared" si="146"/>
        <v>144152.1914665103</v>
      </c>
      <c r="U47" s="234">
        <f t="shared" si="146"/>
        <v>19834.924611986513</v>
      </c>
      <c r="V47" s="234">
        <f t="shared" si="146"/>
        <v>40451.925278828101</v>
      </c>
      <c r="W47" s="234">
        <f t="shared" si="146"/>
        <v>33202.253258903518</v>
      </c>
      <c r="X47" s="234">
        <f t="shared" si="146"/>
        <v>25638.444676494517</v>
      </c>
      <c r="Y47" s="234">
        <f t="shared" si="146"/>
        <v>218900.55535314512</v>
      </c>
      <c r="Z47" s="234">
        <f t="shared" si="146"/>
        <v>28308.620459063779</v>
      </c>
      <c r="AA47" s="234">
        <f t="shared" si="146"/>
        <v>41.365901470167799</v>
      </c>
      <c r="AB47" s="234">
        <f t="shared" si="146"/>
        <v>85077.7309667113</v>
      </c>
      <c r="AC47" s="234">
        <f t="shared" si="146"/>
        <v>190.06361212578085</v>
      </c>
      <c r="AD47" s="234">
        <f t="shared" si="146"/>
        <v>990.81729655671472</v>
      </c>
      <c r="AE47" s="234">
        <f t="shared" si="146"/>
        <v>17340.402148426543</v>
      </c>
      <c r="AF47" s="234">
        <f t="shared" si="146"/>
        <v>147299.77580277022</v>
      </c>
      <c r="AG47" s="234">
        <f t="shared" si="146"/>
        <v>9927.0687750504276</v>
      </c>
      <c r="AH47" s="234">
        <f t="shared" si="146"/>
        <v>76.68235039828572</v>
      </c>
      <c r="AI47" s="234">
        <f t="shared" si="146"/>
        <v>2237.7808657874248</v>
      </c>
      <c r="AJ47" s="234">
        <f t="shared" si="146"/>
        <v>38781.895550568799</v>
      </c>
      <c r="AK47" s="234">
        <f t="shared" si="146"/>
        <v>22691.540209128205</v>
      </c>
      <c r="AL47" s="234">
        <f t="shared" si="146"/>
        <v>1430608.9583448959</v>
      </c>
      <c r="AM47" s="234">
        <f t="shared" si="146"/>
        <v>229919.99419692453</v>
      </c>
      <c r="AN47" s="234">
        <f t="shared" si="146"/>
        <v>343981.24601740041</v>
      </c>
      <c r="AO47" s="234">
        <f t="shared" si="146"/>
        <v>82896.424050934642</v>
      </c>
      <c r="AP47" s="234">
        <f t="shared" si="146"/>
        <v>18478.929088759589</v>
      </c>
      <c r="AQ47" s="234">
        <f t="shared" si="146"/>
        <v>1314.8442386279864</v>
      </c>
      <c r="AR47" s="234">
        <f t="shared" si="146"/>
        <v>105145.92454088344</v>
      </c>
      <c r="AS47" s="234">
        <f t="shared" si="146"/>
        <v>7861.1792067351662</v>
      </c>
      <c r="AT47" s="234">
        <f t="shared" si="146"/>
        <v>508311.85948672734</v>
      </c>
      <c r="AU47" s="234">
        <f t="shared" si="146"/>
        <v>395.11366917843441</v>
      </c>
      <c r="AV47" s="234">
        <f t="shared" si="146"/>
        <v>332657.25955284759</v>
      </c>
      <c r="AW47" s="234">
        <f t="shared" si="146"/>
        <v>42176.082220152784</v>
      </c>
      <c r="AX47" s="234">
        <f t="shared" si="146"/>
        <v>26853.914244589982</v>
      </c>
      <c r="AY47" s="234">
        <f t="shared" si="146"/>
        <v>56013.847540320887</v>
      </c>
      <c r="AZ47" s="235">
        <f t="shared" si="146"/>
        <v>47.849094145934451</v>
      </c>
      <c r="BA47" s="235">
        <f t="shared" si="146"/>
        <v>19404.924526178016</v>
      </c>
      <c r="BB47" s="235">
        <f t="shared" si="146"/>
        <v>209.17160638449633</v>
      </c>
      <c r="BC47" s="235">
        <f t="shared" si="146"/>
        <v>246387.93738528999</v>
      </c>
      <c r="BD47" s="235">
        <f t="shared" si="146"/>
        <v>482649.22941964713</v>
      </c>
      <c r="BE47" s="235">
        <f t="shared" si="146"/>
        <v>949.46303699260272</v>
      </c>
      <c r="BF47" s="239">
        <f t="shared" ref="BF47" si="147">BF45^2</f>
        <v>9863.2777978631038</v>
      </c>
    </row>
    <row r="48" spans="1:58" ht="16" thickBot="1" x14ac:dyDescent="0.25"/>
    <row r="49" spans="2:58" x14ac:dyDescent="0.2">
      <c r="B49" s="176" t="s">
        <v>37</v>
      </c>
      <c r="C49" s="185"/>
      <c r="D49" s="185"/>
      <c r="E49" s="185"/>
      <c r="F49" s="185"/>
      <c r="G49" s="185"/>
      <c r="H49" s="185"/>
      <c r="I49" s="185"/>
      <c r="J49" s="236">
        <f>SUM($J$45:J45)/COUNT($J$45:J45)</f>
        <v>306</v>
      </c>
      <c r="K49" s="236">
        <f>SUM($J$45:K45)/COUNT($J$45:K45)</f>
        <v>89.543083756345141</v>
      </c>
      <c r="L49" s="236">
        <f>SUM($J$45:L45)/COUNT($J$45:L45)</f>
        <v>70.265648096833047</v>
      </c>
      <c r="M49" s="236">
        <f>SUM($J$45:M45)/COUNT($J$45:M45)</f>
        <v>98.170695233433037</v>
      </c>
      <c r="N49" s="236">
        <f>SUM($J$45:N45)/COUNT($J$45:N45)</f>
        <v>15.572518494628365</v>
      </c>
      <c r="O49" s="236">
        <f>SUM($J$45:O45)/COUNT($J$45:O45)</f>
        <v>-31.393096708259048</v>
      </c>
      <c r="P49" s="236">
        <f>SUM($J$45:P45)/COUNT($J$45:P45)</f>
        <v>5.4876492198002484</v>
      </c>
      <c r="Q49" s="236">
        <f>SUM($J$45:Q45)/COUNT($J$45:Q45)</f>
        <v>30.099930176481152</v>
      </c>
      <c r="R49" s="236">
        <f>SUM($J$45:R45)/COUNT($J$45:R45)</f>
        <v>-46.872796429788963</v>
      </c>
      <c r="S49" s="236">
        <f>SUM($J$45:S45)/COUNT($J$45:S45)</f>
        <v>-36.446053186412783</v>
      </c>
      <c r="T49" s="236">
        <f>SUM($J$45:T45)/COUNT($J$45:T45)</f>
        <v>1.3830240240200118</v>
      </c>
      <c r="U49" s="236">
        <f>SUM($J$45:U45)/COUNT($J$45:U45)</f>
        <v>-10.468604421658133</v>
      </c>
      <c r="V49" s="236">
        <f>SUM($J$45:V45)/COUNT($J$45:V45)</f>
        <v>-25.134607151022159</v>
      </c>
      <c r="W49" s="236">
        <f>SUM($J$45:W45)/COUNT($J$45:W45)</f>
        <v>-10.323931307350554</v>
      </c>
      <c r="X49" s="236">
        <f>SUM($J$45:X45)/COUNT($J$45:X45)</f>
        <v>1.0390037493468223</v>
      </c>
      <c r="Y49" s="236">
        <f>SUM($J$45:Y45)/COUNT($J$45:Y45)</f>
        <v>-28.267689991565057</v>
      </c>
      <c r="Z49" s="236">
        <f>SUM($J$45:Z45)/COUNT($J$45:Z45)</f>
        <v>-16.707728338129854</v>
      </c>
      <c r="AA49" s="236">
        <f>SUM($J$45:AA45)/COUNT($J$45:AA45)</f>
        <v>-15.422208270598194</v>
      </c>
      <c r="AB49" s="236">
        <f>SUM($J$45:AB45)/COUNT($J$45:AB45)</f>
        <v>0.74111173245918105</v>
      </c>
      <c r="AC49" s="236">
        <f>SUM($J$45:AC45)/COUNT($J$45:AC45)</f>
        <v>1.3933739465018165</v>
      </c>
      <c r="AD49" s="236">
        <f>SUM($J$45:AD45)/COUNT($J$45:AD45)</f>
        <v>2.8259394947902181</v>
      </c>
      <c r="AE49" s="236">
        <f>SUM($J$45:AE45)/COUNT($J$45:AE45)</f>
        <v>-3.2881014248304412</v>
      </c>
      <c r="AF49" s="236">
        <f>SUM($J$45:AF45)/COUNT($J$45:AF45)</f>
        <v>-19.831946109393492</v>
      </c>
      <c r="AG49" s="236">
        <f>SUM($J$45:AG45)/COUNT($J$45:AG45)</f>
        <v>-23.157059878552374</v>
      </c>
      <c r="AH49" s="236">
        <f>SUM($J$45:AH45)/COUNT($J$45:AH45)</f>
        <v>-21.88050364676635</v>
      </c>
      <c r="AI49" s="236">
        <f>SUM($J$45:AI45)/COUNT($J$45:AI45)</f>
        <v>-19.219515484524422</v>
      </c>
      <c r="AJ49" s="236">
        <f>SUM($J$45:AJ45)/COUNT($J$45:AJ45)</f>
        <v>-25.801429539378098</v>
      </c>
      <c r="AK49" s="236">
        <f>SUM($J$45:AK45)/COUNT($J$45:AK45)</f>
        <v>-19.50005297315294</v>
      </c>
      <c r="AL49" s="236">
        <f>SUM($J$45:AL45)/COUNT($J$45:AL45)</f>
        <v>22.416523525373147</v>
      </c>
      <c r="AM49" s="236">
        <f>SUM($J$45:AM45)/COUNT($J$45:AM45)</f>
        <v>37.652630516545216</v>
      </c>
      <c r="AN49" s="236">
        <f>SUM($J$45:AN45)/COUNT($J$45:AN45)</f>
        <v>55.357356760825404</v>
      </c>
      <c r="AO49" s="236">
        <f>SUM($J$45:AO45)/COUNT($J$45:AO45)</f>
        <v>62.624857831379622</v>
      </c>
      <c r="AP49" s="236">
        <f>SUM($J$45:AP45)/COUNT($J$45:AP45)</f>
        <v>64.846444709487869</v>
      </c>
      <c r="AQ49" s="236">
        <f>SUM($J$45:AQ45)/COUNT($J$45:AQ45)</f>
        <v>61.872702776897235</v>
      </c>
      <c r="AR49" s="236">
        <f>SUM($J$45:AR45)/COUNT($J$45:AR45)</f>
        <v>69.369543360357682</v>
      </c>
      <c r="AS49" s="236">
        <f>SUM($J$45:AS45)/COUNT($J$45:AS45)</f>
        <v>69.90548080039774</v>
      </c>
      <c r="AT49" s="236">
        <f>SUM($J$45:AT45)/COUNT($J$45:AT45)</f>
        <v>48.746956227743929</v>
      </c>
      <c r="AU49" s="236">
        <f>SUM($J$45:AU45)/COUNT($J$45:AU45)</f>
        <v>46.941050369982733</v>
      </c>
      <c r="AV49" s="236">
        <f>SUM($J$45:AV45)/COUNT($J$45:AV45)</f>
        <v>60.52626638459931</v>
      </c>
      <c r="AW49" s="236">
        <f>SUM($J$45:AW45)/COUNT($J$45:AW45)</f>
        <v>53.878905659348106</v>
      </c>
      <c r="AX49" s="236">
        <f>SUM($J$45:AX45)/COUNT($J$45:AX45)</f>
        <v>56.561655266123495</v>
      </c>
      <c r="AY49" s="236">
        <f>SUM($J$45:AY45)/COUNT($J$45:AY45)</f>
        <v>49.579890907774612</v>
      </c>
      <c r="AZ49" s="237">
        <f>SUM($AZ$45:AZ45)/COUNT($AZ$45:AZ45)</f>
        <v>6.9173039651250292</v>
      </c>
      <c r="BA49" s="237">
        <f>SUM($AZ$45:BA45)/COUNT($AZ$45:BA45)</f>
        <v>-66.192127851869373</v>
      </c>
      <c r="BB49" s="237">
        <f>SUM($AZ$45:BB45)/COUNT($AZ$45:BB45)</f>
        <v>-39.307163165278176</v>
      </c>
      <c r="BC49" s="237">
        <f>SUM($AZ$45:BC45)/COUNT($AZ$45:BC45)</f>
        <v>-153.5740711929584</v>
      </c>
      <c r="BD49" s="237">
        <f>SUM($AZ$45:BD45)/COUNT($AZ$45:BD45)</f>
        <v>16.086664816608209</v>
      </c>
      <c r="BE49" s="237">
        <f>SUM($AZ$45:BE45)/COUNT($AZ$45:BE45)</f>
        <v>8.2699943316054796</v>
      </c>
      <c r="BF49" s="238">
        <f>SUM($AZ$45:BF45)/COUNT($AZ$45:BF45)</f>
        <v>21.276286035381709</v>
      </c>
    </row>
    <row r="50" spans="2:58" x14ac:dyDescent="0.2">
      <c r="B50" s="169" t="s">
        <v>38</v>
      </c>
      <c r="C50" s="180"/>
      <c r="D50" s="180"/>
      <c r="E50" s="180"/>
      <c r="F50" s="180"/>
      <c r="G50" s="180"/>
      <c r="H50" s="180"/>
      <c r="I50" s="180"/>
      <c r="J50" s="232">
        <f>SUM($J$46:J46)/COUNT($J$46:J46)</f>
        <v>306</v>
      </c>
      <c r="K50" s="232">
        <f>SUM($J$46:K46)/COUNT($J$46:K46)</f>
        <v>216.45691624365486</v>
      </c>
      <c r="L50" s="232">
        <f>SUM($J$46:L46)/COUNT($J$46:L46)</f>
        <v>154.87486975503953</v>
      </c>
      <c r="M50" s="232">
        <f>SUM($J$46:M46)/COUNT($J$46:M46)</f>
        <v>161.6276114770879</v>
      </c>
      <c r="N50" s="232">
        <f>SUM($J$46:N46)/COUNT($J$46:N46)</f>
        <v>192.26612687378838</v>
      </c>
      <c r="O50" s="232">
        <f>SUM($J$46:O46)/COUNT($J$46:O46)</f>
        <v>204.59196784860634</v>
      </c>
      <c r="P50" s="232">
        <f>SUM($J$46:P46)/COUNT($J$46:P46)</f>
        <v>207.76056169711345</v>
      </c>
      <c r="Q50" s="232">
        <f>SUM($J$46:Q46)/COUNT($J$46:Q46)</f>
        <v>207.0887285941302</v>
      </c>
      <c r="R50" s="232">
        <f>SUM($J$46:R46)/COUNT($J$46:R46)</f>
        <v>257.70715978144352</v>
      </c>
      <c r="S50" s="232">
        <f>SUM($J$46:S46)/COUNT($J$46:S46)</f>
        <v>237.67590740369641</v>
      </c>
      <c r="T50" s="232">
        <f>SUM($J$46:T46)/COUNT($J$46:T46)</f>
        <v>250.58480637866475</v>
      </c>
      <c r="U50" s="232">
        <f>SUM($J$46:U46)/COUNT($J$46:U46)</f>
        <v>241.43911562411915</v>
      </c>
      <c r="V50" s="232">
        <f>SUM($J$46:V46)/COUNT($J$46:V46)</f>
        <v>238.33815595329389</v>
      </c>
      <c r="W50" s="232">
        <f>SUM($J$46:W46)/COUNT($J$46:W46)</f>
        <v>234.32934871808578</v>
      </c>
      <c r="X50" s="232">
        <f>SUM($J$46:X46)/COUNT($J$46:X46)</f>
        <v>229.38206510642073</v>
      </c>
      <c r="Y50" s="232">
        <f>SUM($J$46:Y46)/COUNT($J$46:Y46)</f>
        <v>244.28744204384714</v>
      </c>
      <c r="Z50" s="232">
        <f>SUM($J$46:Z46)/COUNT($J$46:Z46)</f>
        <v>239.81474887166985</v>
      </c>
      <c r="AA50" s="232">
        <f>SUM($J$46:AA46)/COUNT($J$46:AA46)</f>
        <v>226.84902020532374</v>
      </c>
      <c r="AB50" s="232">
        <f>SUM($J$46:AB46)/COUNT($J$46:AB46)</f>
        <v>230.2612229201747</v>
      </c>
      <c r="AC50" s="232">
        <f>SUM($J$46:AC46)/COUNT($J$46:AC46)</f>
        <v>219.43747957483157</v>
      </c>
      <c r="AD50" s="232">
        <f>SUM($J$46:AD46)/COUNT($J$46:AD46)</f>
        <v>210.48699247415186</v>
      </c>
      <c r="AE50" s="232">
        <f>SUM($J$46:AE46)/COUNT($J$46:AE46)</f>
        <v>206.90499103154789</v>
      </c>
      <c r="AF50" s="232">
        <f>SUM($J$46:AF46)/COUNT($J$46:AF46)</f>
        <v>214.59592747234061</v>
      </c>
      <c r="AG50" s="232">
        <f>SUM($J$46:AG46)/COUNT($J$46:AG46)</f>
        <v>209.8058753513767</v>
      </c>
      <c r="AH50" s="232">
        <f>SUM($J$46:AH46)/COUNT($J$46:AH46)</f>
        <v>201.76391417396556</v>
      </c>
      <c r="AI50" s="232">
        <f>SUM($J$46:AI46)/COUNT($J$46:AI46)</f>
        <v>195.82319395848705</v>
      </c>
      <c r="AJ50" s="232">
        <f>SUM($J$46:AJ46)/COUNT($J$46:AJ46)</f>
        <v>195.8642310328236</v>
      </c>
      <c r="AK50" s="232">
        <f>SUM($J$46:AK46)/COUNT($J$46:AK46)</f>
        <v>194.24897686432726</v>
      </c>
      <c r="AL50" s="232">
        <f>SUM($J$46:AL46)/COUNT($J$46:AL46)</f>
        <v>228.79489716156093</v>
      </c>
      <c r="AM50" s="232">
        <f>SUM($J$46:AM46)/COUNT($J$46:AM46)</f>
        <v>237.15172503152675</v>
      </c>
      <c r="AN50" s="232">
        <f>SUM($J$46:AN46)/COUNT($J$46:AN46)</f>
        <v>248.42099661403333</v>
      </c>
      <c r="AO50" s="232">
        <f>SUM($J$46:AO46)/COUNT($J$46:AO46)</f>
        <v>249.65525893917481</v>
      </c>
      <c r="AP50" s="232">
        <f>SUM($J$46:AP46)/COUNT($J$46:AP46)</f>
        <v>246.20925790492564</v>
      </c>
      <c r="AQ50" s="232">
        <f>SUM($J$46:AQ46)/COUNT($J$46:AQ46)</f>
        <v>240.03430270179823</v>
      </c>
      <c r="AR50" s="232">
        <f>SUM($J$46:AR46)/COUNT($J$46:AR46)</f>
        <v>242.44081185883297</v>
      </c>
      <c r="AS50" s="232">
        <f>SUM($J$46:AS46)/COUNT($J$46:AS46)</f>
        <v>238.16921406280426</v>
      </c>
      <c r="AT50" s="232">
        <f>SUM($J$46:AT46)/COUNT($J$46:AT46)</f>
        <v>251.00139553104719</v>
      </c>
      <c r="AU50" s="232">
        <f>SUM($J$46:AU46)/COUNT($J$46:AU46)</f>
        <v>244.91918686884017</v>
      </c>
      <c r="AV50" s="232">
        <f>SUM($J$46:AV46)/COUNT($J$46:AV46)</f>
        <v>253.42804040912708</v>
      </c>
      <c r="AW50" s="232">
        <f>SUM($J$46:AW46)/COUNT($J$46:AW46)</f>
        <v>252.22654346453515</v>
      </c>
      <c r="AX50" s="232">
        <f>SUM($J$46:AX46)/COUNT($J$46:AX46)</f>
        <v>250.07154580776938</v>
      </c>
      <c r="AY50" s="232">
        <f>SUM($J$46:AY46)/COUNT($J$46:AY46)</f>
        <v>249.75251966435891</v>
      </c>
      <c r="AZ50" s="233">
        <f>SUM($AZ$46:AZ46)/COUNT($AZ$46:AZ46)</f>
        <v>6.9173039651250292</v>
      </c>
      <c r="BA50" s="233">
        <f>SUM($AZ$46:BA46)/COUNT($AZ$46:BA46)</f>
        <v>73.109431816994402</v>
      </c>
      <c r="BB50" s="233">
        <f>SUM($AZ$46:BB46)/COUNT($AZ$46:BB46)</f>
        <v>53.560543280631009</v>
      </c>
      <c r="BC50" s="233">
        <f>SUM($AZ$46:BC46)/COUNT($AZ$46:BC46)</f>
        <v>164.26410627947303</v>
      </c>
      <c r="BD50" s="233">
        <f>SUM($AZ$46:BD46)/COUNT($AZ$46:BD46)</f>
        <v>270.35720679455335</v>
      </c>
      <c r="BE50" s="233">
        <f>SUM($AZ$46:BE46)/COUNT($AZ$46:BE46)</f>
        <v>230.43323201102916</v>
      </c>
      <c r="BF50" s="240">
        <f>SUM($AZ$46:BF46)/COUNT($AZ$46:BF46)</f>
        <v>211.70191833203057</v>
      </c>
    </row>
    <row r="51" spans="2:58" x14ac:dyDescent="0.2">
      <c r="B51" s="169" t="s">
        <v>39</v>
      </c>
      <c r="C51" s="180"/>
      <c r="D51" s="180"/>
      <c r="E51" s="180"/>
      <c r="F51" s="180"/>
      <c r="G51" s="180"/>
      <c r="H51" s="180"/>
      <c r="I51" s="180"/>
      <c r="J51" s="232">
        <f>SUM($J$47:J47)/COUNT($J$47:J47)</f>
        <v>93636</v>
      </c>
      <c r="K51" s="232">
        <f>SUM($J$47:K47)/COUNT($J$47:K47)</f>
        <v>54871.560438308457</v>
      </c>
      <c r="L51" s="232">
        <f>SUM($J$47:L47)/COUNT($J$47:L47)</f>
        <v>36916.231413489644</v>
      </c>
      <c r="M51" s="232">
        <f>SUM($J$47:M47)/COUNT($J$47:M47)</f>
        <v>35957.787952969447</v>
      </c>
      <c r="N51" s="232">
        <f>SUM($J$47:N47)/COUNT($J$47:N47)</f>
        <v>48588.580574847882</v>
      </c>
      <c r="O51" s="232">
        <f>SUM($J$47:O47)/COUNT($J$47:O47)</f>
        <v>52302.769280014501</v>
      </c>
      <c r="P51" s="232">
        <f>SUM($J$47:P47)/COUNT($J$47:P47)</f>
        <v>52177.458894431715</v>
      </c>
      <c r="Q51" s="232">
        <f>SUM($J$47:Q47)/COUNT($J$47:Q47)</f>
        <v>50775.282939276345</v>
      </c>
      <c r="R51" s="232">
        <f>SUM($J$47:R47)/COUNT($J$47:R47)</f>
        <v>93923.710523797097</v>
      </c>
      <c r="S51" s="232">
        <f>SUM($J$47:S47)/COUNT($J$47:S47)</f>
        <v>84860.753895620248</v>
      </c>
      <c r="T51" s="232">
        <f>SUM($J$47:T47)/COUNT($J$47:T47)</f>
        <v>90250.884583882973</v>
      </c>
      <c r="U51" s="232">
        <f>SUM($J$47:U47)/COUNT($J$47:U47)</f>
        <v>84382.88791955827</v>
      </c>
      <c r="V51" s="232">
        <f>SUM($J$47:V47)/COUNT($J$47:V47)</f>
        <v>81003.583101040553</v>
      </c>
      <c r="W51" s="232">
        <f>SUM($J$47:W47)/COUNT($J$47:W47)</f>
        <v>77589.202398030771</v>
      </c>
      <c r="X51" s="232">
        <f>SUM($J$47:X47)/COUNT($J$47:X47)</f>
        <v>74125.818549928343</v>
      </c>
      <c r="Y51" s="232">
        <f>SUM($J$47:Y47)/COUNT($J$47:Y47)</f>
        <v>83174.239600129396</v>
      </c>
      <c r="Z51" s="232">
        <f>SUM($J$47:Z47)/COUNT($J$47:Z47)</f>
        <v>79946.850238890242</v>
      </c>
      <c r="AA51" s="232">
        <f>SUM($J$47:AA47)/COUNT($J$47:AA47)</f>
        <v>75507.656664589129</v>
      </c>
      <c r="AB51" s="232">
        <f>SUM($J$47:AB47)/COUNT($J$47:AB47)</f>
        <v>76011.344785753448</v>
      </c>
      <c r="AC51" s="232">
        <f>SUM($J$47:AC47)/COUNT($J$47:AC47)</f>
        <v>72220.280727072066</v>
      </c>
      <c r="AD51" s="232">
        <f>SUM($J$47:AD47)/COUNT($J$47:AD47)</f>
        <v>68828.401516095139</v>
      </c>
      <c r="AE51" s="232">
        <f>SUM($J$47:AE47)/COUNT($J$47:AE47)</f>
        <v>66488.037908473838</v>
      </c>
      <c r="AF51" s="232">
        <f>SUM($J$47:AF47)/COUNT($J$47:AF47)</f>
        <v>70001.591729964974</v>
      </c>
      <c r="AG51" s="232">
        <f>SUM($J$47:AG47)/COUNT($J$47:AG47)</f>
        <v>67498.486606843537</v>
      </c>
      <c r="AH51" s="232">
        <f>SUM($J$47:AH47)/COUNT($J$47:AH47)</f>
        <v>64801.614436585725</v>
      </c>
      <c r="AI51" s="232">
        <f>SUM($J$47:AI47)/COUNT($J$47:AI47)</f>
        <v>62395.313145401182</v>
      </c>
      <c r="AJ51" s="232">
        <f>SUM($J$47:AJ47)/COUNT($J$47:AJ47)</f>
        <v>61520.74212337035</v>
      </c>
      <c r="AK51" s="232">
        <f>SUM($J$47:AK47)/COUNT($J$47:AK47)</f>
        <v>60133.984912147418</v>
      </c>
      <c r="AL51" s="232">
        <f>SUM($J$47:AL47)/COUNT($J$47:AL47)</f>
        <v>107391.74261672497</v>
      </c>
      <c r="AM51" s="232">
        <f>SUM($J$47:AM47)/COUNT($J$47:AM47)</f>
        <v>111476.01766939828</v>
      </c>
      <c r="AN51" s="232">
        <f>SUM($J$47:AN47)/COUNT($J$47:AN47)</f>
        <v>118976.18632578543</v>
      </c>
      <c r="AO51" s="232">
        <f>SUM($J$47:AO47)/COUNT($J$47:AO47)</f>
        <v>117848.69375469635</v>
      </c>
      <c r="AP51" s="232">
        <f>SUM($J$47:AP47)/COUNT($J$47:AP47)</f>
        <v>114837.48876481947</v>
      </c>
      <c r="AQ51" s="232">
        <f>SUM($J$47:AQ47)/COUNT($J$47:AQ47)</f>
        <v>111498.58745522561</v>
      </c>
      <c r="AR51" s="232">
        <f>SUM($J$47:AR47)/COUNT($J$47:AR47)</f>
        <v>111317.08280053013</v>
      </c>
      <c r="AS51" s="232">
        <f>SUM($J$47:AS47)/COUNT($J$47:AS47)</f>
        <v>108443.30770070248</v>
      </c>
      <c r="AT51" s="232">
        <f>SUM($J$47:AT47)/COUNT($J$47:AT47)</f>
        <v>119250.56585708153</v>
      </c>
      <c r="AU51" s="232">
        <f>SUM($J$47:AU47)/COUNT($J$47:AU47)</f>
        <v>116122.79079950512</v>
      </c>
      <c r="AV51" s="232">
        <f>SUM($J$47:AV47)/COUNT($J$47:AV47)</f>
        <v>121674.95666497544</v>
      </c>
      <c r="AW51" s="232">
        <f>SUM($J$47:AW47)/COUNT($J$47:AW47)</f>
        <v>119687.48480385488</v>
      </c>
      <c r="AX51" s="232">
        <f>SUM($J$47:AX47)/COUNT($J$47:AX47)</f>
        <v>117423.25137558013</v>
      </c>
      <c r="AY51" s="232">
        <f>SUM($J$47:AY47)/COUNT($J$47:AY47)</f>
        <v>115961.12271283587</v>
      </c>
      <c r="AZ51" s="233">
        <f>SUM($AZ$47:AZ47)/COUNT($AZ$47:AZ47)</f>
        <v>47.849094145934451</v>
      </c>
      <c r="BA51" s="233">
        <f>SUM($AZ$47:BA47)/COUNT($AZ$47:BA47)</f>
        <v>9726.3868101619755</v>
      </c>
      <c r="BB51" s="233">
        <f>SUM($AZ$47:BB47)/COUNT($AZ$47:BB47)</f>
        <v>6553.9817422361493</v>
      </c>
      <c r="BC51" s="233">
        <f>SUM($AZ$47:BC47)/COUNT($AZ$47:BC47)</f>
        <v>66512.470652999604</v>
      </c>
      <c r="BD51" s="233">
        <f>SUM($AZ$47:BD47)/COUNT($AZ$47:BD47)</f>
        <v>149739.82240632913</v>
      </c>
      <c r="BE51" s="233">
        <f>SUM($AZ$47:BE47)/COUNT($AZ$47:BE47)</f>
        <v>124941.42917810637</v>
      </c>
      <c r="BF51" s="240">
        <f>SUM($AZ$47:BF47)/COUNT($AZ$47:BF47)</f>
        <v>108501.69326664305</v>
      </c>
    </row>
    <row r="52" spans="2:58" ht="16" thickBot="1" x14ac:dyDescent="0.25">
      <c r="B52" s="170" t="s">
        <v>40</v>
      </c>
      <c r="C52" s="183"/>
      <c r="D52" s="183"/>
      <c r="E52" s="183"/>
      <c r="F52" s="183"/>
      <c r="G52" s="183"/>
      <c r="H52" s="183"/>
      <c r="I52" s="183"/>
      <c r="J52" s="234">
        <f>SQRT(J51)</f>
        <v>306</v>
      </c>
      <c r="K52" s="234">
        <f t="shared" ref="K52:BE52" si="148">SQRT(K51)</f>
        <v>234.24679386985952</v>
      </c>
      <c r="L52" s="234">
        <f t="shared" si="148"/>
        <v>192.13597115972232</v>
      </c>
      <c r="M52" s="234">
        <f t="shared" si="148"/>
        <v>189.62538847150572</v>
      </c>
      <c r="N52" s="234">
        <f t="shared" si="148"/>
        <v>220.42817554670248</v>
      </c>
      <c r="O52" s="234">
        <f t="shared" si="148"/>
        <v>228.69798704845329</v>
      </c>
      <c r="P52" s="234">
        <f t="shared" si="148"/>
        <v>228.4238579799223</v>
      </c>
      <c r="Q52" s="234">
        <f t="shared" si="148"/>
        <v>225.33371460852533</v>
      </c>
      <c r="R52" s="234">
        <f t="shared" si="148"/>
        <v>306.4697546639751</v>
      </c>
      <c r="S52" s="234">
        <f t="shared" si="148"/>
        <v>291.30869176119728</v>
      </c>
      <c r="T52" s="234">
        <f t="shared" si="148"/>
        <v>300.4178499754683</v>
      </c>
      <c r="U52" s="234">
        <f t="shared" si="148"/>
        <v>290.48732832872122</v>
      </c>
      <c r="V52" s="234">
        <f t="shared" si="148"/>
        <v>284.61128421241585</v>
      </c>
      <c r="W52" s="234">
        <f t="shared" si="148"/>
        <v>278.54838430339311</v>
      </c>
      <c r="X52" s="234">
        <f t="shared" si="148"/>
        <v>272.26057105267438</v>
      </c>
      <c r="Y52" s="234">
        <f t="shared" si="148"/>
        <v>288.39944452118732</v>
      </c>
      <c r="Z52" s="234">
        <f t="shared" si="148"/>
        <v>282.74874047268582</v>
      </c>
      <c r="AA52" s="234">
        <f t="shared" si="148"/>
        <v>274.78656565521743</v>
      </c>
      <c r="AB52" s="234">
        <f t="shared" si="148"/>
        <v>275.7015502055682</v>
      </c>
      <c r="AC52" s="234">
        <f t="shared" si="148"/>
        <v>268.73831272647385</v>
      </c>
      <c r="AD52" s="234">
        <f t="shared" si="148"/>
        <v>262.35167526832214</v>
      </c>
      <c r="AE52" s="234">
        <f t="shared" si="148"/>
        <v>257.852744620789</v>
      </c>
      <c r="AF52" s="234">
        <f t="shared" si="148"/>
        <v>264.57813917624594</v>
      </c>
      <c r="AG52" s="234">
        <f t="shared" si="148"/>
        <v>259.80470859251864</v>
      </c>
      <c r="AH52" s="234">
        <f t="shared" si="148"/>
        <v>254.56161226034402</v>
      </c>
      <c r="AI52" s="234">
        <f t="shared" si="148"/>
        <v>249.79053854259809</v>
      </c>
      <c r="AJ52" s="234">
        <f t="shared" si="148"/>
        <v>248.0337519842216</v>
      </c>
      <c r="AK52" s="234">
        <f t="shared" si="148"/>
        <v>245.2223173207272</v>
      </c>
      <c r="AL52" s="234">
        <f t="shared" si="148"/>
        <v>327.70679366886026</v>
      </c>
      <c r="AM52" s="234">
        <f t="shared" si="148"/>
        <v>333.88024450302277</v>
      </c>
      <c r="AN52" s="234">
        <f t="shared" si="148"/>
        <v>344.92924828982746</v>
      </c>
      <c r="AO52" s="234">
        <f t="shared" si="148"/>
        <v>343.29097534700259</v>
      </c>
      <c r="AP52" s="234">
        <f t="shared" si="148"/>
        <v>338.8768047016784</v>
      </c>
      <c r="AQ52" s="234">
        <f t="shared" si="148"/>
        <v>333.9140420156445</v>
      </c>
      <c r="AR52" s="234">
        <f t="shared" si="148"/>
        <v>333.64214781788309</v>
      </c>
      <c r="AS52" s="234">
        <f t="shared" si="148"/>
        <v>329.30731498207336</v>
      </c>
      <c r="AT52" s="234">
        <f t="shared" si="148"/>
        <v>345.32675230436683</v>
      </c>
      <c r="AU52" s="234">
        <f t="shared" si="148"/>
        <v>340.7679427403715</v>
      </c>
      <c r="AV52" s="234">
        <f t="shared" si="148"/>
        <v>348.81937541509279</v>
      </c>
      <c r="AW52" s="234">
        <f t="shared" si="148"/>
        <v>345.95879061508884</v>
      </c>
      <c r="AX52" s="234">
        <f t="shared" si="148"/>
        <v>342.67076235882763</v>
      </c>
      <c r="AY52" s="234">
        <f t="shared" si="148"/>
        <v>340.53064871291082</v>
      </c>
      <c r="AZ52" s="235">
        <f t="shared" si="148"/>
        <v>6.9173039651250292</v>
      </c>
      <c r="BA52" s="235">
        <f t="shared" si="148"/>
        <v>98.622445772562216</v>
      </c>
      <c r="BB52" s="235">
        <f t="shared" si="148"/>
        <v>80.956665829542104</v>
      </c>
      <c r="BC52" s="235">
        <f t="shared" si="148"/>
        <v>257.90011759012367</v>
      </c>
      <c r="BD52" s="235">
        <f t="shared" si="148"/>
        <v>386.96230101436123</v>
      </c>
      <c r="BE52" s="235">
        <f t="shared" si="148"/>
        <v>353.4705492372828</v>
      </c>
      <c r="BF52" s="239">
        <f t="shared" ref="BF52" si="149">SQRT(BF51)</f>
        <v>329.39595211028785</v>
      </c>
    </row>
    <row r="54" spans="2:58" ht="16" thickBot="1" x14ac:dyDescent="0.25"/>
    <row r="55" spans="2:58" x14ac:dyDescent="0.2">
      <c r="B55" s="177" t="s">
        <v>71</v>
      </c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6"/>
      <c r="BA55" s="186"/>
      <c r="BB55" s="186"/>
      <c r="BC55" s="186"/>
      <c r="BD55" s="186"/>
      <c r="BE55" s="186"/>
      <c r="BF55" s="187"/>
    </row>
    <row r="56" spans="2:58" x14ac:dyDescent="0.2">
      <c r="B56" s="178" t="s">
        <v>34</v>
      </c>
      <c r="C56" s="180"/>
      <c r="D56" s="180"/>
      <c r="E56" s="180"/>
      <c r="F56" s="180"/>
      <c r="G56" s="180"/>
      <c r="H56" s="180"/>
      <c r="I56" s="180"/>
      <c r="J56" s="232">
        <f>J2-J40</f>
        <v>262.31739130434767</v>
      </c>
      <c r="K56" s="232">
        <f t="shared" ref="K56:BE56" si="150">K2-K40</f>
        <v>-350.03886062679339</v>
      </c>
      <c r="L56" s="232">
        <f t="shared" si="150"/>
        <v>-93.405242846942656</v>
      </c>
      <c r="M56" s="232">
        <f t="shared" si="150"/>
        <v>82.821069890614126</v>
      </c>
      <c r="N56" s="232">
        <f t="shared" si="150"/>
        <v>-442.3610140873443</v>
      </c>
      <c r="O56" s="232">
        <f t="shared" si="150"/>
        <v>-267.85889631738223</v>
      </c>
      <c r="P56" s="232">
        <f t="shared" si="150"/>
        <v>281.27140851252341</v>
      </c>
      <c r="Q56" s="232">
        <f t="shared" si="150"/>
        <v>148.52524330782489</v>
      </c>
      <c r="R56" s="232">
        <f t="shared" si="150"/>
        <v>-726.29156081450537</v>
      </c>
      <c r="S56" s="232">
        <f t="shared" si="150"/>
        <v>141.67265626192034</v>
      </c>
      <c r="T56" s="232">
        <f t="shared" si="150"/>
        <v>404.26822157801712</v>
      </c>
      <c r="U56" s="232">
        <f t="shared" si="150"/>
        <v>-184.15974891275414</v>
      </c>
      <c r="V56" s="232">
        <f t="shared" si="150"/>
        <v>-228.99752256805164</v>
      </c>
      <c r="W56" s="232">
        <f t="shared" si="150"/>
        <v>174.29985287898501</v>
      </c>
      <c r="X56" s="232">
        <f t="shared" si="150"/>
        <v>133.76176392500065</v>
      </c>
      <c r="Y56" s="232">
        <f t="shared" si="150"/>
        <v>-419.12573399898156</v>
      </c>
      <c r="Z56" s="232">
        <f t="shared" si="150"/>
        <v>178.09760146616418</v>
      </c>
      <c r="AA56" s="232">
        <f t="shared" si="150"/>
        <v>-29.867563244708435</v>
      </c>
      <c r="AB56" s="232">
        <f t="shared" si="150"/>
        <v>353.08204669173074</v>
      </c>
      <c r="AC56" s="232">
        <f t="shared" si="150"/>
        <v>-54.722979542990515</v>
      </c>
      <c r="AD56" s="232">
        <f t="shared" si="150"/>
        <v>-99.275722219866111</v>
      </c>
      <c r="AE56" s="232">
        <f t="shared" si="150"/>
        <v>-204.24850908433791</v>
      </c>
      <c r="AF56" s="232">
        <f t="shared" si="150"/>
        <v>-250.68976926991763</v>
      </c>
      <c r="AG56" s="232">
        <f t="shared" si="150"/>
        <v>-75.17924123564535</v>
      </c>
      <c r="AH56" s="232">
        <f t="shared" si="150"/>
        <v>84.035346695293356</v>
      </c>
      <c r="AI56" s="232">
        <f t="shared" si="150"/>
        <v>138.73666263570908</v>
      </c>
      <c r="AJ56" s="232">
        <f t="shared" si="150"/>
        <v>-143.13656782029784</v>
      </c>
      <c r="AK56" s="232">
        <f t="shared" si="150"/>
        <v>178.02616252789278</v>
      </c>
      <c r="AL56" s="232">
        <f t="shared" si="150"/>
        <v>1199.4439282257601</v>
      </c>
      <c r="AM56" s="232">
        <f t="shared" si="150"/>
        <v>200.67591069778655</v>
      </c>
      <c r="AN56" s="232">
        <f t="shared" si="150"/>
        <v>-7.6417006019087239</v>
      </c>
      <c r="AO56" s="232">
        <f t="shared" si="150"/>
        <v>-254.27498321250187</v>
      </c>
      <c r="AP56" s="232">
        <f t="shared" si="150"/>
        <v>-201.4550182340181</v>
      </c>
      <c r="AQ56" s="232">
        <f t="shared" si="150"/>
        <v>-168.46707144945685</v>
      </c>
      <c r="AR56" s="232">
        <f t="shared" si="150"/>
        <v>127.60954253678165</v>
      </c>
      <c r="AS56" s="232">
        <f t="shared" si="150"/>
        <v>-254.00773830458047</v>
      </c>
      <c r="AT56" s="232">
        <f t="shared" si="150"/>
        <v>-714.34715677424992</v>
      </c>
      <c r="AU56" s="232">
        <f t="shared" si="150"/>
        <v>9.8757991130069058</v>
      </c>
      <c r="AV56" s="232">
        <f t="shared" si="150"/>
        <v>584.90943768944999</v>
      </c>
      <c r="AW56" s="232">
        <f t="shared" si="150"/>
        <v>-334.06762806375991</v>
      </c>
      <c r="AX56" s="232">
        <f t="shared" si="150"/>
        <v>174.71809030440113</v>
      </c>
      <c r="AY56" s="232">
        <f t="shared" si="150"/>
        <v>-402.16262631187055</v>
      </c>
      <c r="AZ56" s="233">
        <f t="shared" si="150"/>
        <v>34.605002387474542</v>
      </c>
      <c r="BA56" s="233">
        <f t="shared" si="150"/>
        <v>91.67220203701072</v>
      </c>
      <c r="BB56" s="233">
        <f t="shared" si="150"/>
        <v>107.10747284850186</v>
      </c>
      <c r="BC56" s="233">
        <f t="shared" si="150"/>
        <v>-418.3077908024984</v>
      </c>
      <c r="BD56" s="233">
        <f t="shared" si="150"/>
        <v>851.09087520255571</v>
      </c>
      <c r="BE56" s="233">
        <f t="shared" si="150"/>
        <v>85.131808561389789</v>
      </c>
      <c r="BF56" s="240">
        <f t="shared" ref="BF56" si="151">BF2-BF40</f>
        <v>194.05786002594573</v>
      </c>
    </row>
    <row r="57" spans="2:58" x14ac:dyDescent="0.2">
      <c r="B57" s="178" t="s">
        <v>35</v>
      </c>
      <c r="C57" s="180"/>
      <c r="D57" s="180"/>
      <c r="E57" s="180"/>
      <c r="F57" s="180"/>
      <c r="G57" s="180"/>
      <c r="H57" s="180"/>
      <c r="I57" s="180"/>
      <c r="J57" s="232">
        <f>ABS(J56)</f>
        <v>262.31739130434767</v>
      </c>
      <c r="K57" s="232">
        <f t="shared" ref="K57:BE57" si="152">ABS(K56)</f>
        <v>350.03886062679339</v>
      </c>
      <c r="L57" s="232">
        <f t="shared" si="152"/>
        <v>93.405242846942656</v>
      </c>
      <c r="M57" s="232">
        <f t="shared" si="152"/>
        <v>82.821069890614126</v>
      </c>
      <c r="N57" s="232">
        <f t="shared" si="152"/>
        <v>442.3610140873443</v>
      </c>
      <c r="O57" s="232">
        <f t="shared" si="152"/>
        <v>267.85889631738223</v>
      </c>
      <c r="P57" s="232">
        <f t="shared" si="152"/>
        <v>281.27140851252341</v>
      </c>
      <c r="Q57" s="232">
        <f t="shared" si="152"/>
        <v>148.52524330782489</v>
      </c>
      <c r="R57" s="232">
        <f t="shared" si="152"/>
        <v>726.29156081450537</v>
      </c>
      <c r="S57" s="232">
        <f t="shared" si="152"/>
        <v>141.67265626192034</v>
      </c>
      <c r="T57" s="232">
        <f t="shared" si="152"/>
        <v>404.26822157801712</v>
      </c>
      <c r="U57" s="232">
        <f t="shared" si="152"/>
        <v>184.15974891275414</v>
      </c>
      <c r="V57" s="232">
        <f t="shared" si="152"/>
        <v>228.99752256805164</v>
      </c>
      <c r="W57" s="232">
        <f t="shared" si="152"/>
        <v>174.29985287898501</v>
      </c>
      <c r="X57" s="232">
        <f t="shared" si="152"/>
        <v>133.76176392500065</v>
      </c>
      <c r="Y57" s="232">
        <f t="shared" si="152"/>
        <v>419.12573399898156</v>
      </c>
      <c r="Z57" s="232">
        <f t="shared" si="152"/>
        <v>178.09760146616418</v>
      </c>
      <c r="AA57" s="232">
        <f t="shared" si="152"/>
        <v>29.867563244708435</v>
      </c>
      <c r="AB57" s="232">
        <f t="shared" si="152"/>
        <v>353.08204669173074</v>
      </c>
      <c r="AC57" s="232">
        <f t="shared" si="152"/>
        <v>54.722979542990515</v>
      </c>
      <c r="AD57" s="232">
        <f t="shared" si="152"/>
        <v>99.275722219866111</v>
      </c>
      <c r="AE57" s="232">
        <f t="shared" si="152"/>
        <v>204.24850908433791</v>
      </c>
      <c r="AF57" s="232">
        <f t="shared" si="152"/>
        <v>250.68976926991763</v>
      </c>
      <c r="AG57" s="232">
        <f t="shared" si="152"/>
        <v>75.17924123564535</v>
      </c>
      <c r="AH57" s="232">
        <f t="shared" si="152"/>
        <v>84.035346695293356</v>
      </c>
      <c r="AI57" s="232">
        <f t="shared" si="152"/>
        <v>138.73666263570908</v>
      </c>
      <c r="AJ57" s="232">
        <f t="shared" si="152"/>
        <v>143.13656782029784</v>
      </c>
      <c r="AK57" s="232">
        <f t="shared" si="152"/>
        <v>178.02616252789278</v>
      </c>
      <c r="AL57" s="232">
        <f t="shared" si="152"/>
        <v>1199.4439282257601</v>
      </c>
      <c r="AM57" s="232">
        <f t="shared" si="152"/>
        <v>200.67591069778655</v>
      </c>
      <c r="AN57" s="232">
        <f t="shared" si="152"/>
        <v>7.6417006019087239</v>
      </c>
      <c r="AO57" s="232">
        <f t="shared" si="152"/>
        <v>254.27498321250187</v>
      </c>
      <c r="AP57" s="232">
        <f t="shared" si="152"/>
        <v>201.4550182340181</v>
      </c>
      <c r="AQ57" s="232">
        <f t="shared" si="152"/>
        <v>168.46707144945685</v>
      </c>
      <c r="AR57" s="232">
        <f t="shared" si="152"/>
        <v>127.60954253678165</v>
      </c>
      <c r="AS57" s="232">
        <f t="shared" si="152"/>
        <v>254.00773830458047</v>
      </c>
      <c r="AT57" s="232">
        <f t="shared" si="152"/>
        <v>714.34715677424992</v>
      </c>
      <c r="AU57" s="232">
        <f t="shared" si="152"/>
        <v>9.8757991130069058</v>
      </c>
      <c r="AV57" s="232">
        <f t="shared" si="152"/>
        <v>584.90943768944999</v>
      </c>
      <c r="AW57" s="232">
        <f t="shared" si="152"/>
        <v>334.06762806375991</v>
      </c>
      <c r="AX57" s="232">
        <f t="shared" si="152"/>
        <v>174.71809030440113</v>
      </c>
      <c r="AY57" s="232">
        <f t="shared" si="152"/>
        <v>402.16262631187055</v>
      </c>
      <c r="AZ57" s="233">
        <f t="shared" si="152"/>
        <v>34.605002387474542</v>
      </c>
      <c r="BA57" s="233">
        <f t="shared" si="152"/>
        <v>91.67220203701072</v>
      </c>
      <c r="BB57" s="233">
        <f t="shared" si="152"/>
        <v>107.10747284850186</v>
      </c>
      <c r="BC57" s="233">
        <f t="shared" si="152"/>
        <v>418.3077908024984</v>
      </c>
      <c r="BD57" s="233">
        <f t="shared" si="152"/>
        <v>851.09087520255571</v>
      </c>
      <c r="BE57" s="233">
        <f t="shared" si="152"/>
        <v>85.131808561389789</v>
      </c>
      <c r="BF57" s="240">
        <f t="shared" ref="BF57" si="153">ABS(BF56)</f>
        <v>194.05786002594573</v>
      </c>
    </row>
    <row r="58" spans="2:58" ht="16" thickBot="1" x14ac:dyDescent="0.25">
      <c r="B58" s="179" t="s">
        <v>36</v>
      </c>
      <c r="C58" s="183"/>
      <c r="D58" s="183"/>
      <c r="E58" s="183"/>
      <c r="F58" s="183"/>
      <c r="G58" s="183"/>
      <c r="H58" s="183"/>
      <c r="I58" s="183"/>
      <c r="J58" s="234">
        <f>J56^2</f>
        <v>68810.413780718256</v>
      </c>
      <c r="K58" s="234">
        <f t="shared" ref="K58:BE58" si="154">K56^2</f>
        <v>122527.20394890368</v>
      </c>
      <c r="L58" s="234">
        <f t="shared" si="154"/>
        <v>8724.5393912963318</v>
      </c>
      <c r="M58" s="234">
        <f t="shared" si="154"/>
        <v>6859.3296178259898</v>
      </c>
      <c r="N58" s="234">
        <f t="shared" si="154"/>
        <v>195683.26678438362</v>
      </c>
      <c r="O58" s="234">
        <f t="shared" si="154"/>
        <v>71748.38833636613</v>
      </c>
      <c r="P58" s="234">
        <f t="shared" si="154"/>
        <v>79113.605246618827</v>
      </c>
      <c r="Q58" s="234">
        <f t="shared" si="154"/>
        <v>22059.747899648584</v>
      </c>
      <c r="R58" s="234">
        <f t="shared" si="154"/>
        <v>527499.43131037033</v>
      </c>
      <c r="S58" s="234">
        <f t="shared" si="154"/>
        <v>20071.141532308236</v>
      </c>
      <c r="T58" s="234">
        <f t="shared" si="154"/>
        <v>163432.79497785275</v>
      </c>
      <c r="U58" s="234">
        <f t="shared" si="154"/>
        <v>33914.813119608647</v>
      </c>
      <c r="V58" s="234">
        <f t="shared" si="154"/>
        <v>52439.865342305318</v>
      </c>
      <c r="W58" s="234">
        <f t="shared" si="154"/>
        <v>30380.438713635816</v>
      </c>
      <c r="X58" s="234">
        <f t="shared" si="154"/>
        <v>17892.209488327604</v>
      </c>
      <c r="Y58" s="234">
        <f t="shared" si="154"/>
        <v>175666.38090018506</v>
      </c>
      <c r="Z58" s="234">
        <f t="shared" si="154"/>
        <v>31718.755648000646</v>
      </c>
      <c r="AA58" s="234">
        <f t="shared" si="154"/>
        <v>892.0713341766583</v>
      </c>
      <c r="AB58" s="234">
        <f t="shared" si="154"/>
        <v>124666.93169602152</v>
      </c>
      <c r="AC58" s="234">
        <f t="shared" si="154"/>
        <v>2994.6044900625584</v>
      </c>
      <c r="AD58" s="234">
        <f t="shared" si="154"/>
        <v>9855.6690222760171</v>
      </c>
      <c r="AE58" s="234">
        <f t="shared" si="154"/>
        <v>41717.453463174868</v>
      </c>
      <c r="AF58" s="234">
        <f t="shared" si="154"/>
        <v>62845.360416604541</v>
      </c>
      <c r="AG58" s="234">
        <f t="shared" si="154"/>
        <v>5651.9183127673577</v>
      </c>
      <c r="AH58" s="234">
        <f t="shared" si="154"/>
        <v>7061.9394941981518</v>
      </c>
      <c r="AI58" s="234">
        <f t="shared" si="154"/>
        <v>19247.861559294557</v>
      </c>
      <c r="AJ58" s="234">
        <f t="shared" si="154"/>
        <v>20488.077047374725</v>
      </c>
      <c r="AK58" s="234">
        <f t="shared" si="154"/>
        <v>31693.314544407694</v>
      </c>
      <c r="AL58" s="234">
        <f t="shared" si="154"/>
        <v>1438665.7369576425</v>
      </c>
      <c r="AM58" s="234">
        <f t="shared" si="154"/>
        <v>40270.821134386002</v>
      </c>
      <c r="AN58" s="234">
        <f t="shared" si="154"/>
        <v>58.395588089212154</v>
      </c>
      <c r="AO58" s="234">
        <f t="shared" si="154"/>
        <v>64655.767087718108</v>
      </c>
      <c r="AP58" s="234">
        <f t="shared" si="154"/>
        <v>40584.124371668564</v>
      </c>
      <c r="AQ58" s="234">
        <f t="shared" si="154"/>
        <v>28381.1541627564</v>
      </c>
      <c r="AR58" s="234">
        <f t="shared" si="154"/>
        <v>16284.195346446684</v>
      </c>
      <c r="AS58" s="234">
        <f t="shared" si="154"/>
        <v>64519.931118608234</v>
      </c>
      <c r="AT58" s="234">
        <f t="shared" si="154"/>
        <v>510291.86039145477</v>
      </c>
      <c r="AU58" s="234">
        <f t="shared" si="154"/>
        <v>97.531408120467987</v>
      </c>
      <c r="AV58" s="234">
        <f t="shared" si="154"/>
        <v>342119.05029818858</v>
      </c>
      <c r="AW58" s="234">
        <f t="shared" si="154"/>
        <v>111601.18012014663</v>
      </c>
      <c r="AX58" s="234">
        <f t="shared" si="154"/>
        <v>30526.411079616868</v>
      </c>
      <c r="AY58" s="234">
        <f t="shared" si="154"/>
        <v>161734.77800206124</v>
      </c>
      <c r="AZ58" s="235">
        <f t="shared" si="154"/>
        <v>1197.5061902371187</v>
      </c>
      <c r="BA58" s="235">
        <f t="shared" si="154"/>
        <v>8403.7926263145127</v>
      </c>
      <c r="BB58" s="235">
        <f t="shared" si="154"/>
        <v>11472.010739992562</v>
      </c>
      <c r="BC58" s="235">
        <f t="shared" si="154"/>
        <v>174981.40784606678</v>
      </c>
      <c r="BD58" s="235">
        <f t="shared" si="154"/>
        <v>724355.67785305227</v>
      </c>
      <c r="BE58" s="235">
        <f t="shared" si="154"/>
        <v>7247.4248289331199</v>
      </c>
      <c r="BF58" s="239">
        <f t="shared" ref="BF58" si="155">BF56^2</f>
        <v>37658.453037849547</v>
      </c>
    </row>
    <row r="60" spans="2:58" ht="16" thickBot="1" x14ac:dyDescent="0.25"/>
    <row r="61" spans="2:58" x14ac:dyDescent="0.2">
      <c r="B61" s="176" t="s">
        <v>37</v>
      </c>
      <c r="C61" s="185"/>
      <c r="D61" s="185"/>
      <c r="E61" s="185"/>
      <c r="F61" s="185"/>
      <c r="G61" s="185"/>
      <c r="H61" s="185"/>
      <c r="I61" s="185"/>
      <c r="J61" s="236">
        <f>SUM($J$56:J56)/COUNT($J$56:J56)</f>
        <v>262.31739130434767</v>
      </c>
      <c r="K61" s="236">
        <f>SUM($J$56:K56)/COUNT($J$56:K56)</f>
        <v>-43.860734661222864</v>
      </c>
      <c r="L61" s="236">
        <f>SUM($J$56:L56)/COUNT($J$56:L56)</f>
        <v>-60.375570723129464</v>
      </c>
      <c r="M61" s="236">
        <f>SUM($J$56:M56)/COUNT($J$56:M56)</f>
        <v>-24.576410569693564</v>
      </c>
      <c r="N61" s="236">
        <f>SUM($J$56:N56)/COUNT($J$56:N56)</f>
        <v>-108.13333127322372</v>
      </c>
      <c r="O61" s="236">
        <f>SUM($J$56:O56)/COUNT($J$56:O56)</f>
        <v>-134.75425878058346</v>
      </c>
      <c r="P61" s="236">
        <f>SUM($J$56:P56)/COUNT($J$56:P56)</f>
        <v>-75.322020595853914</v>
      </c>
      <c r="Q61" s="236">
        <f>SUM($J$56:Q56)/COUNT($J$56:Q56)</f>
        <v>-47.341112607894061</v>
      </c>
      <c r="R61" s="236">
        <f>SUM($J$56:R56)/COUNT($J$56:R56)</f>
        <v>-122.78005129751753</v>
      </c>
      <c r="S61" s="236">
        <f>SUM($J$56:S56)/COUNT($J$56:S56)</f>
        <v>-96.334780541573735</v>
      </c>
      <c r="T61" s="236">
        <f>SUM($J$56:T56)/COUNT($J$56:T56)</f>
        <v>-50.825416712520024</v>
      </c>
      <c r="U61" s="236">
        <f>SUM($J$56:U56)/COUNT($J$56:U56)</f>
        <v>-61.936611062539534</v>
      </c>
      <c r="V61" s="236">
        <f>SUM($J$56:V56)/COUNT($J$56:V56)</f>
        <v>-74.787450409117383</v>
      </c>
      <c r="W61" s="236">
        <f>SUM($J$56:W56)/COUNT($J$56:W56)</f>
        <v>-56.995500174252932</v>
      </c>
      <c r="X61" s="236">
        <f>SUM($J$56:X56)/COUNT($J$56:X56)</f>
        <v>-44.278349234302695</v>
      </c>
      <c r="Y61" s="236">
        <f>SUM($J$56:Y56)/COUNT($J$56:Y56)</f>
        <v>-67.70631078209513</v>
      </c>
      <c r="Z61" s="236">
        <f>SUM($J$56:Z56)/COUNT($J$56:Z56)</f>
        <v>-53.24725712043282</v>
      </c>
      <c r="AA61" s="236">
        <f>SUM($J$56:AA56)/COUNT($J$56:AA56)</f>
        <v>-51.948385238448132</v>
      </c>
      <c r="AB61" s="236">
        <f>SUM($J$56:AB56)/COUNT($J$56:AB56)</f>
        <v>-30.630994084228188</v>
      </c>
      <c r="AC61" s="236">
        <f>SUM($J$56:AC56)/COUNT($J$56:AC56)</f>
        <v>-31.835593357166307</v>
      </c>
      <c r="AD61" s="236">
        <f>SUM($J$56:AD56)/COUNT($J$56:AD56)</f>
        <v>-35.047028064913917</v>
      </c>
      <c r="AE61" s="236">
        <f>SUM($J$56:AE56)/COUNT($J$56:AE56)</f>
        <v>-42.738004474887731</v>
      </c>
      <c r="AF61" s="236">
        <f>SUM($J$56:AF56)/COUNT($J$56:AF56)</f>
        <v>-51.77938555293251</v>
      </c>
      <c r="AG61" s="236">
        <f>SUM($J$56:AG56)/COUNT($J$56:AG56)</f>
        <v>-52.754379539712211</v>
      </c>
      <c r="AH61" s="236">
        <f>SUM($J$56:AH56)/COUNT($J$56:AH56)</f>
        <v>-47.282790490311989</v>
      </c>
      <c r="AI61" s="236">
        <f>SUM($J$56:AI56)/COUNT($J$56:AI56)</f>
        <v>-40.128196139311179</v>
      </c>
      <c r="AJ61" s="236">
        <f>SUM($J$56:AJ56)/COUNT($J$56:AJ56)</f>
        <v>-43.943321016384758</v>
      </c>
      <c r="AK61" s="236">
        <f>SUM($J$56:AK56)/COUNT($J$56:AK56)</f>
        <v>-36.015839461231991</v>
      </c>
      <c r="AL61" s="236">
        <f>SUM($J$56:AL56)/COUNT($J$56:AL56)</f>
        <v>6.5862214934918759</v>
      </c>
      <c r="AM61" s="236">
        <f>SUM($J$56:AM56)/COUNT($J$56:AM56)</f>
        <v>13.055877800301698</v>
      </c>
      <c r="AN61" s="236">
        <f>SUM($J$56:AN56)/COUNT($J$56:AN56)</f>
        <v>12.388213980875555</v>
      </c>
      <c r="AO61" s="236">
        <f>SUM($J$56:AO56)/COUNT($J$56:AO56)</f>
        <v>4.0549890685825112</v>
      </c>
      <c r="AP61" s="236">
        <f>SUM($J$56:AP56)/COUNT($J$56:AP56)</f>
        <v>-2.1725869102841742</v>
      </c>
      <c r="AQ61" s="236">
        <f>SUM($J$56:AQ56)/COUNT($J$56:AQ56)</f>
        <v>-7.0636011614363117</v>
      </c>
      <c r="AR61" s="236">
        <f>SUM($J$56:AR56)/COUNT($J$56:AR56)</f>
        <v>-3.2157970557729412</v>
      </c>
      <c r="AS61" s="236">
        <f>SUM($J$56:AS56)/COUNT($J$56:AS56)</f>
        <v>-10.182239868239817</v>
      </c>
      <c r="AT61" s="236">
        <f>SUM($J$56:AT56)/COUNT($J$56:AT56)</f>
        <v>-29.213724108942792</v>
      </c>
      <c r="AU61" s="236">
        <f>SUM($J$56:AU56)/COUNT($J$56:AU56)</f>
        <v>-28.185052445207273</v>
      </c>
      <c r="AV61" s="236">
        <f>SUM($J$56:AV56)/COUNT($J$56:AV56)</f>
        <v>-12.464680903292983</v>
      </c>
      <c r="AW61" s="236">
        <f>SUM($J$56:AW56)/COUNT($J$56:AW56)</f>
        <v>-20.504754582304656</v>
      </c>
      <c r="AX61" s="236">
        <f>SUM($J$56:AX56)/COUNT($J$56:AX56)</f>
        <v>-15.743221780189881</v>
      </c>
      <c r="AY61" s="236">
        <f>SUM($J$56:AY56)/COUNT($J$56:AY56)</f>
        <v>-24.943683792848944</v>
      </c>
      <c r="AZ61" s="237">
        <f>SUM($AZ$56:AZ56)/COUNT($AZ$56:AZ56)</f>
        <v>34.605002387474542</v>
      </c>
      <c r="BA61" s="237">
        <f>SUM($AZ$56:BA56)/COUNT($AZ$56:BA56)</f>
        <v>63.138602212242631</v>
      </c>
      <c r="BB61" s="237">
        <f>SUM($AZ$56:BB56)/COUNT($AZ$56:BB56)</f>
        <v>77.794892424329035</v>
      </c>
      <c r="BC61" s="237">
        <f>SUM($AZ$56:BC56)/COUNT($AZ$56:BC56)</f>
        <v>-46.230778382377821</v>
      </c>
      <c r="BD61" s="237">
        <f>SUM($AZ$56:BD56)/COUNT($AZ$56:BD56)</f>
        <v>133.23355233460887</v>
      </c>
      <c r="BE61" s="237">
        <f>SUM($AZ$56:BE56)/COUNT($AZ$56:BE56)</f>
        <v>125.21659503907237</v>
      </c>
      <c r="BF61" s="238">
        <f>SUM($AZ$56:BF56)/COUNT($AZ$56:BF56)</f>
        <v>135.05106146576856</v>
      </c>
    </row>
    <row r="62" spans="2:58" x14ac:dyDescent="0.2">
      <c r="B62" s="169" t="s">
        <v>38</v>
      </c>
      <c r="C62" s="180"/>
      <c r="D62" s="180"/>
      <c r="E62" s="180"/>
      <c r="F62" s="180"/>
      <c r="G62" s="180"/>
      <c r="H62" s="180"/>
      <c r="I62" s="180"/>
      <c r="J62" s="232">
        <f>SUM($J$57:J57)/COUNT($J$57:J57)</f>
        <v>262.31739130434767</v>
      </c>
      <c r="K62" s="232">
        <f>SUM($J$57:K57)/COUNT($J$57:K57)</f>
        <v>306.17812596557053</v>
      </c>
      <c r="L62" s="232">
        <f>SUM($J$57:L57)/COUNT($J$57:L57)</f>
        <v>235.25383159269458</v>
      </c>
      <c r="M62" s="232">
        <f>SUM($J$57:M57)/COUNT($J$57:M57)</f>
        <v>197.14564116717446</v>
      </c>
      <c r="N62" s="232">
        <f>SUM($J$57:N57)/COUNT($J$57:N57)</f>
        <v>246.18871575120843</v>
      </c>
      <c r="O62" s="232">
        <f>SUM($J$57:O57)/COUNT($J$57:O57)</f>
        <v>249.80041251223739</v>
      </c>
      <c r="P62" s="232">
        <f>SUM($J$57:P57)/COUNT($J$57:P57)</f>
        <v>254.29626908370685</v>
      </c>
      <c r="Q62" s="232">
        <f>SUM($J$57:Q57)/COUNT($J$57:Q57)</f>
        <v>241.0748908617216</v>
      </c>
      <c r="R62" s="232">
        <f>SUM($J$57:R57)/COUNT($J$57:R57)</f>
        <v>294.98785418980867</v>
      </c>
      <c r="S62" s="232">
        <f>SUM($J$57:S57)/COUNT($J$57:S57)</f>
        <v>279.65633439701986</v>
      </c>
      <c r="T62" s="232">
        <f>SUM($J$57:T57)/COUNT($J$57:T57)</f>
        <v>290.98468777711054</v>
      </c>
      <c r="U62" s="232">
        <f>SUM($J$57:U57)/COUNT($J$57:U57)</f>
        <v>282.08260953841415</v>
      </c>
      <c r="V62" s="232">
        <f>SUM($J$57:V57)/COUNT($J$57:V57)</f>
        <v>277.99914130992477</v>
      </c>
      <c r="W62" s="232">
        <f>SUM($J$57:W57)/COUNT($J$57:W57)</f>
        <v>270.59204927914334</v>
      </c>
      <c r="X62" s="232">
        <f>SUM($J$57:X57)/COUNT($J$57:X57)</f>
        <v>261.4700302555338</v>
      </c>
      <c r="Y62" s="232">
        <f>SUM($J$57:Y57)/COUNT($J$57:Y57)</f>
        <v>271.32351173949928</v>
      </c>
      <c r="Z62" s="232">
        <f>SUM($J$57:Z57)/COUNT($J$57:Z57)</f>
        <v>265.83963466459727</v>
      </c>
      <c r="AA62" s="232">
        <f>SUM($J$57:AA57)/COUNT($J$57:AA57)</f>
        <v>252.73007514127008</v>
      </c>
      <c r="AB62" s="232">
        <f>SUM($J$57:AB57)/COUNT($J$57:AB57)</f>
        <v>258.01175785445218</v>
      </c>
      <c r="AC62" s="232">
        <f>SUM($J$57:AC57)/COUNT($J$57:AC57)</f>
        <v>247.84731893887911</v>
      </c>
      <c r="AD62" s="232">
        <f>SUM($J$57:AD57)/COUNT($J$57:AD57)</f>
        <v>240.7724809998785</v>
      </c>
      <c r="AE62" s="232">
        <f>SUM($J$57:AE57)/COUNT($J$57:AE57)</f>
        <v>239.11230045826298</v>
      </c>
      <c r="AF62" s="232">
        <f>SUM($J$57:AF57)/COUNT($J$57:AF57)</f>
        <v>239.61566866746537</v>
      </c>
      <c r="AG62" s="232">
        <f>SUM($J$57:AG57)/COUNT($J$57:AG57)</f>
        <v>232.76415085780619</v>
      </c>
      <c r="AH62" s="232">
        <f>SUM($J$57:AH57)/COUNT($J$57:AH57)</f>
        <v>226.81499869130568</v>
      </c>
      <c r="AI62" s="232">
        <f>SUM($J$57:AI57)/COUNT($J$57:AI57)</f>
        <v>223.42737038147501</v>
      </c>
      <c r="AJ62" s="232">
        <f>SUM($J$57:AJ57)/COUNT($J$57:AJ57)</f>
        <v>220.45363695328328</v>
      </c>
      <c r="AK62" s="232">
        <f>SUM($J$57:AK57)/COUNT($J$57:AK57)</f>
        <v>218.93837000951933</v>
      </c>
      <c r="AL62" s="232">
        <f>SUM($J$57:AL57)/COUNT($J$57:AL57)</f>
        <v>252.74890649973452</v>
      </c>
      <c r="AM62" s="232">
        <f>SUM($J$57:AM57)/COUNT($J$57:AM57)</f>
        <v>251.01313997300295</v>
      </c>
      <c r="AN62" s="232">
        <f>SUM($J$57:AN57)/COUNT($J$57:AN57)</f>
        <v>243.16244838038702</v>
      </c>
      <c r="AO62" s="232">
        <f>SUM($J$57:AO57)/COUNT($J$57:AO57)</f>
        <v>243.50971509389061</v>
      </c>
      <c r="AP62" s="232">
        <f>SUM($J$57:AP57)/COUNT($J$57:AP57)</f>
        <v>242.23533034056115</v>
      </c>
      <c r="AQ62" s="232">
        <f>SUM($J$57:AQ57)/COUNT($J$57:AQ57)</f>
        <v>240.06567566729336</v>
      </c>
      <c r="AR62" s="232">
        <f>SUM($J$57:AR57)/COUNT($J$57:AR57)</f>
        <v>236.85264329213589</v>
      </c>
      <c r="AS62" s="232">
        <f>SUM($J$57:AS57)/COUNT($J$57:AS57)</f>
        <v>237.32917370914825</v>
      </c>
      <c r="AT62" s="232">
        <f>SUM($J$57:AT57)/COUNT($J$57:AT57)</f>
        <v>250.22155162982665</v>
      </c>
      <c r="AU62" s="232">
        <f>SUM($J$57:AU57)/COUNT($J$57:AU57)</f>
        <v>243.89666340569985</v>
      </c>
      <c r="AV62" s="232">
        <f>SUM($J$57:AV57)/COUNT($J$57:AV57)</f>
        <v>252.64058069502678</v>
      </c>
      <c r="AW62" s="232">
        <f>SUM($J$57:AW57)/COUNT($J$57:AW57)</f>
        <v>254.6762568792451</v>
      </c>
      <c r="AX62" s="232">
        <f>SUM($J$57:AX57)/COUNT($J$57:AX57)</f>
        <v>252.72605769449279</v>
      </c>
      <c r="AY62" s="232">
        <f>SUM($J$57:AY57)/COUNT($J$57:AY57)</f>
        <v>256.28407123300178</v>
      </c>
      <c r="AZ62" s="233">
        <f>SUM($AZ$57:AZ57)/COUNT($AZ$57:AZ57)</f>
        <v>34.605002387474542</v>
      </c>
      <c r="BA62" s="233">
        <f>SUM($AZ$57:BA57)/COUNT($AZ$57:BA57)</f>
        <v>63.138602212242631</v>
      </c>
      <c r="BB62" s="233">
        <f>SUM($AZ$57:BB57)/COUNT($AZ$57:BB57)</f>
        <v>77.794892424329035</v>
      </c>
      <c r="BC62" s="233">
        <f>SUM($AZ$57:BC57)/COUNT($AZ$57:BC57)</f>
        <v>162.92311701887138</v>
      </c>
      <c r="BD62" s="233">
        <f>SUM($AZ$57:BD57)/COUNT($AZ$57:BD57)</f>
        <v>300.55666865560823</v>
      </c>
      <c r="BE62" s="233">
        <f>SUM($AZ$57:BE57)/COUNT($AZ$57:BE57)</f>
        <v>264.65252530657182</v>
      </c>
      <c r="BF62" s="240">
        <f>SUM($AZ$57:BF57)/COUNT($AZ$57:BF57)</f>
        <v>254.56757312362524</v>
      </c>
    </row>
    <row r="63" spans="2:58" x14ac:dyDescent="0.2">
      <c r="B63" s="169" t="s">
        <v>39</v>
      </c>
      <c r="C63" s="180"/>
      <c r="D63" s="180"/>
      <c r="E63" s="180"/>
      <c r="F63" s="180"/>
      <c r="G63" s="180"/>
      <c r="H63" s="180"/>
      <c r="I63" s="180"/>
      <c r="J63" s="232">
        <f>SUM($J$58:J58)/COUNT($J$58:J58)</f>
        <v>68810.413780718256</v>
      </c>
      <c r="K63" s="232">
        <f>SUM($J$58:K58)/COUNT($J$58:K58)</f>
        <v>95668.80886481097</v>
      </c>
      <c r="L63" s="232">
        <f>SUM($J$58:L58)/COUNT($J$58:L58)</f>
        <v>66687.385706972753</v>
      </c>
      <c r="M63" s="232">
        <f>SUM($J$58:M58)/COUNT($J$58:M58)</f>
        <v>51730.371684686063</v>
      </c>
      <c r="N63" s="232">
        <f>SUM($J$58:N58)/COUNT($J$58:N58)</f>
        <v>80520.950704625575</v>
      </c>
      <c r="O63" s="232">
        <f>SUM($J$58:O58)/COUNT($J$58:O58)</f>
        <v>79058.856976582334</v>
      </c>
      <c r="P63" s="232">
        <f>SUM($J$58:P58)/COUNT($J$58:P58)</f>
        <v>79066.678158016133</v>
      </c>
      <c r="Q63" s="232">
        <f>SUM($J$58:Q58)/COUNT($J$58:Q58)</f>
        <v>71940.811875720188</v>
      </c>
      <c r="R63" s="232">
        <f>SUM($J$58:R58)/COUNT($J$58:R58)</f>
        <v>122558.43625734799</v>
      </c>
      <c r="S63" s="232">
        <f>SUM($J$58:S58)/COUNT($J$58:S58)</f>
        <v>112309.70678484401</v>
      </c>
      <c r="T63" s="232">
        <f>SUM($J$58:T58)/COUNT($J$58:T58)</f>
        <v>116957.26025693571</v>
      </c>
      <c r="U63" s="232">
        <f>SUM($J$58:U58)/COUNT($J$58:U58)</f>
        <v>110037.05632882513</v>
      </c>
      <c r="V63" s="232">
        <f>SUM($J$58:V58)/COUNT($J$58:V58)</f>
        <v>105606.5031760159</v>
      </c>
      <c r="W63" s="232">
        <f>SUM($J$58:W58)/COUNT($J$58:W58)</f>
        <v>100233.21285727447</v>
      </c>
      <c r="X63" s="232">
        <f>SUM($J$58:X58)/COUNT($J$58:X58)</f>
        <v>94743.812632678018</v>
      </c>
      <c r="Y63" s="232">
        <f>SUM($J$58:Y58)/COUNT($J$58:Y58)</f>
        <v>99801.473149397207</v>
      </c>
      <c r="Z63" s="232">
        <f>SUM($J$58:Z58)/COUNT($J$58:Z58)</f>
        <v>95796.607414020938</v>
      </c>
      <c r="AA63" s="232">
        <f>SUM($J$58:AA58)/COUNT($J$58:AA58)</f>
        <v>90524.133187362924</v>
      </c>
      <c r="AB63" s="232">
        <f>SUM($J$58:AB58)/COUNT($J$58:AB58)</f>
        <v>92321.122582555472</v>
      </c>
      <c r="AC63" s="232">
        <f>SUM($J$58:AC58)/COUNT($J$58:AC58)</f>
        <v>87854.796677930834</v>
      </c>
      <c r="AD63" s="232">
        <f>SUM($J$58:AD58)/COUNT($J$58:AD58)</f>
        <v>84140.552503852028</v>
      </c>
      <c r="AE63" s="232">
        <f>SUM($J$58:AE58)/COUNT($J$58:AE58)</f>
        <v>82212.22982018489</v>
      </c>
      <c r="AF63" s="232">
        <f>SUM($J$58:AF58)/COUNT($J$58:AF58)</f>
        <v>81370.192020029208</v>
      </c>
      <c r="AG63" s="232">
        <f>SUM($J$58:AG58)/COUNT($J$58:AG58)</f>
        <v>78215.263948893305</v>
      </c>
      <c r="AH63" s="232">
        <f>SUM($J$58:AH58)/COUNT($J$58:AH58)</f>
        <v>75369.13097070549</v>
      </c>
      <c r="AI63" s="232">
        <f>SUM($J$58:AI58)/COUNT($J$58:AI58)</f>
        <v>73210.620608728161</v>
      </c>
      <c r="AJ63" s="232">
        <f>SUM($J$58:AJ58)/COUNT($J$58:AJ58)</f>
        <v>71257.933810159506</v>
      </c>
      <c r="AK63" s="232">
        <f>SUM($J$58:AK58)/COUNT($J$58:AK58)</f>
        <v>69844.911693525515</v>
      </c>
      <c r="AL63" s="232">
        <f>SUM($J$58:AL58)/COUNT($J$58:AL58)</f>
        <v>117045.62980608128</v>
      </c>
      <c r="AM63" s="232">
        <f>SUM($J$58:AM58)/COUNT($J$58:AM58)</f>
        <v>114486.46951702477</v>
      </c>
      <c r="AN63" s="232">
        <f>SUM($J$58:AN58)/COUNT($J$58:AN58)</f>
        <v>110795.24132576879</v>
      </c>
      <c r="AO63" s="232">
        <f>SUM($J$58:AO58)/COUNT($J$58:AO58)</f>
        <v>109353.38275582971</v>
      </c>
      <c r="AP63" s="232">
        <f>SUM($J$58:AP58)/COUNT($J$58:AP58)</f>
        <v>107269.46583509755</v>
      </c>
      <c r="AQ63" s="232">
        <f>SUM($J$58:AQ58)/COUNT($J$58:AQ58)</f>
        <v>104949.22137414633</v>
      </c>
      <c r="AR63" s="232">
        <f>SUM($J$58:AR58)/COUNT($J$58:AR58)</f>
        <v>102415.93491621206</v>
      </c>
      <c r="AS63" s="232">
        <f>SUM($J$58:AS58)/COUNT($J$58:AS58)</f>
        <v>101363.2681440564</v>
      </c>
      <c r="AT63" s="232">
        <f>SUM($J$58:AT58)/COUNT($J$58:AT58)</f>
        <v>112415.39225885096</v>
      </c>
      <c r="AU63" s="232">
        <f>SUM($J$58:AU58)/COUNT($J$58:AU58)</f>
        <v>109459.65907856857</v>
      </c>
      <c r="AV63" s="232">
        <f>SUM($J$58:AV58)/COUNT($J$58:AV58)</f>
        <v>115425.28449445627</v>
      </c>
      <c r="AW63" s="232">
        <f>SUM($J$58:AW58)/COUNT($J$58:AW58)</f>
        <v>115329.68188509853</v>
      </c>
      <c r="AX63" s="232">
        <f>SUM($J$58:AX58)/COUNT($J$58:AX58)</f>
        <v>113261.30942642826</v>
      </c>
      <c r="AY63" s="232">
        <f>SUM($J$58:AY58)/COUNT($J$58:AY58)</f>
        <v>114415.43963060998</v>
      </c>
      <c r="AZ63" s="233">
        <f>SUM($AZ$58:AZ58)/COUNT($AZ$58:AZ58)</f>
        <v>1197.5061902371187</v>
      </c>
      <c r="BA63" s="233">
        <f>SUM($AZ$58:BA58)/COUNT($AZ$58:BA58)</f>
        <v>4800.6494082758154</v>
      </c>
      <c r="BB63" s="233">
        <f>SUM($AZ$58:BB58)/COUNT($AZ$58:BB58)</f>
        <v>7024.4365188480633</v>
      </c>
      <c r="BC63" s="233">
        <f>SUM($AZ$58:BC58)/COUNT($AZ$58:BC58)</f>
        <v>49013.679350652747</v>
      </c>
      <c r="BD63" s="233">
        <f>SUM($AZ$58:BD58)/COUNT($AZ$58:BD58)</f>
        <v>184082.07905113263</v>
      </c>
      <c r="BE63" s="233">
        <f>SUM($AZ$58:BE58)/COUNT($AZ$58:BE58)</f>
        <v>154609.63668076604</v>
      </c>
      <c r="BF63" s="240">
        <f>SUM($AZ$58:BF58)/COUNT($AZ$58:BF58)</f>
        <v>137902.32473177798</v>
      </c>
    </row>
    <row r="64" spans="2:58" ht="16" thickBot="1" x14ac:dyDescent="0.25">
      <c r="B64" s="170" t="s">
        <v>40</v>
      </c>
      <c r="C64" s="183"/>
      <c r="D64" s="183"/>
      <c r="E64" s="183"/>
      <c r="F64" s="183"/>
      <c r="G64" s="183"/>
      <c r="H64" s="183"/>
      <c r="I64" s="183"/>
      <c r="J64" s="234">
        <f>SQRT(J63)</f>
        <v>262.31739130434767</v>
      </c>
      <c r="K64" s="234">
        <f t="shared" ref="K64:BE64" si="156">SQRT(K63)</f>
        <v>309.30374854632942</v>
      </c>
      <c r="L64" s="234">
        <f t="shared" si="156"/>
        <v>258.23900887931853</v>
      </c>
      <c r="M64" s="234">
        <f t="shared" si="156"/>
        <v>227.4431174704701</v>
      </c>
      <c r="N64" s="234">
        <f t="shared" si="156"/>
        <v>283.76213754591288</v>
      </c>
      <c r="O64" s="234">
        <f t="shared" si="156"/>
        <v>281.17406881962341</v>
      </c>
      <c r="P64" s="234">
        <f t="shared" si="156"/>
        <v>281.18797655308117</v>
      </c>
      <c r="Q64" s="234">
        <f t="shared" si="156"/>
        <v>268.21784406657247</v>
      </c>
      <c r="R64" s="234">
        <f t="shared" si="156"/>
        <v>350.0834704143399</v>
      </c>
      <c r="S64" s="234">
        <f t="shared" si="156"/>
        <v>335.12640418929095</v>
      </c>
      <c r="T64" s="234">
        <f t="shared" si="156"/>
        <v>341.99014643251888</v>
      </c>
      <c r="U64" s="234">
        <f t="shared" si="156"/>
        <v>331.71833884912832</v>
      </c>
      <c r="V64" s="234">
        <f t="shared" si="156"/>
        <v>324.97154210179065</v>
      </c>
      <c r="W64" s="234">
        <f t="shared" si="156"/>
        <v>316.5962931830922</v>
      </c>
      <c r="X64" s="234">
        <f t="shared" si="156"/>
        <v>307.80482880013108</v>
      </c>
      <c r="Y64" s="234">
        <f t="shared" si="156"/>
        <v>315.91371155649006</v>
      </c>
      <c r="Z64" s="234">
        <f t="shared" si="156"/>
        <v>309.51027028843635</v>
      </c>
      <c r="AA64" s="234">
        <f t="shared" si="156"/>
        <v>300.87228717075777</v>
      </c>
      <c r="AB64" s="234">
        <f t="shared" si="156"/>
        <v>303.84391154432478</v>
      </c>
      <c r="AC64" s="234">
        <f t="shared" si="156"/>
        <v>296.40309829340657</v>
      </c>
      <c r="AD64" s="234">
        <f t="shared" si="156"/>
        <v>290.06990968360032</v>
      </c>
      <c r="AE64" s="234">
        <f t="shared" si="156"/>
        <v>286.72675114154396</v>
      </c>
      <c r="AF64" s="234">
        <f t="shared" si="156"/>
        <v>285.25460911268237</v>
      </c>
      <c r="AG64" s="234">
        <f t="shared" si="156"/>
        <v>279.66991963543973</v>
      </c>
      <c r="AH64" s="234">
        <f t="shared" si="156"/>
        <v>274.53438941361333</v>
      </c>
      <c r="AI64" s="234">
        <f t="shared" si="156"/>
        <v>270.57461190719312</v>
      </c>
      <c r="AJ64" s="234">
        <f t="shared" si="156"/>
        <v>266.9418172751499</v>
      </c>
      <c r="AK64" s="234">
        <f t="shared" si="156"/>
        <v>264.28187923791808</v>
      </c>
      <c r="AL64" s="234">
        <f t="shared" si="156"/>
        <v>342.11932100669395</v>
      </c>
      <c r="AM64" s="234">
        <f t="shared" si="156"/>
        <v>338.35849260366552</v>
      </c>
      <c r="AN64" s="234">
        <f t="shared" si="156"/>
        <v>332.85919143951662</v>
      </c>
      <c r="AO64" s="234">
        <f t="shared" si="156"/>
        <v>330.68623006685613</v>
      </c>
      <c r="AP64" s="234">
        <f t="shared" si="156"/>
        <v>327.52017622598083</v>
      </c>
      <c r="AQ64" s="234">
        <f t="shared" si="156"/>
        <v>323.95867232433574</v>
      </c>
      <c r="AR64" s="234">
        <f t="shared" si="156"/>
        <v>320.02489733802287</v>
      </c>
      <c r="AS64" s="234">
        <f t="shared" si="156"/>
        <v>318.37598550150796</v>
      </c>
      <c r="AT64" s="234">
        <f t="shared" si="156"/>
        <v>335.28404712847725</v>
      </c>
      <c r="AU64" s="234">
        <f t="shared" si="156"/>
        <v>330.84688162134546</v>
      </c>
      <c r="AV64" s="234">
        <f t="shared" si="156"/>
        <v>339.7429682781621</v>
      </c>
      <c r="AW64" s="234">
        <f t="shared" si="156"/>
        <v>339.60224069504977</v>
      </c>
      <c r="AX64" s="234">
        <f t="shared" si="156"/>
        <v>336.54317616975726</v>
      </c>
      <c r="AY64" s="234">
        <f t="shared" si="156"/>
        <v>338.25351384813428</v>
      </c>
      <c r="AZ64" s="235">
        <f t="shared" si="156"/>
        <v>34.605002387474542</v>
      </c>
      <c r="BA64" s="235">
        <f t="shared" si="156"/>
        <v>69.286718844781618</v>
      </c>
      <c r="BB64" s="235">
        <f t="shared" si="156"/>
        <v>83.811911557057712</v>
      </c>
      <c r="BC64" s="235">
        <f t="shared" si="156"/>
        <v>221.39033255915388</v>
      </c>
      <c r="BD64" s="235">
        <f t="shared" si="156"/>
        <v>429.04787501062469</v>
      </c>
      <c r="BE64" s="235">
        <f t="shared" si="156"/>
        <v>393.20431925497212</v>
      </c>
      <c r="BF64" s="239">
        <f t="shared" ref="BF64" si="157">SQRT(BF63)</f>
        <v>371.35202265744829</v>
      </c>
    </row>
  </sheetData>
  <dataValidations count="1">
    <dataValidation type="list" allowBlank="1" showInputMessage="1" showErrorMessage="1" sqref="S7:T7 S11:U11" xr:uid="{615753AB-4D3C-D345-A9B7-45498A0A122B}">
      <formula1>"0.05,0.1,0.15,0.2,0.25,0.3,0.35,0.4,0.45,0.5,0.55,0.6,0.65,0.7,0.75,0.8,0.85,0.9"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F913-12BD-1143-A086-6DB63D8FE4B0}">
  <sheetPr>
    <tabColor theme="7" tint="0.59999389629810485"/>
  </sheetPr>
  <dimension ref="A1:N21"/>
  <sheetViews>
    <sheetView zoomScale="75" workbookViewId="0">
      <selection activeCell="K4" sqref="K4"/>
    </sheetView>
  </sheetViews>
  <sheetFormatPr baseColWidth="10" defaultRowHeight="15" x14ac:dyDescent="0.2"/>
  <cols>
    <col min="1" max="1" width="17.1640625" style="4" customWidth="1"/>
    <col min="2" max="2" width="47.83203125" style="4" customWidth="1"/>
    <col min="3" max="3" width="12.1640625" style="4" bestFit="1" customWidth="1"/>
    <col min="4" max="5" width="11.6640625" style="4" bestFit="1" customWidth="1"/>
    <col min="6" max="6" width="12.1640625" style="4" bestFit="1" customWidth="1"/>
    <col min="7" max="8" width="11.6640625" style="4" bestFit="1" customWidth="1"/>
    <col min="9" max="10" width="10.83203125" style="4"/>
    <col min="11" max="11" width="24.6640625" style="4" customWidth="1"/>
    <col min="12" max="16384" width="10.83203125" style="4"/>
  </cols>
  <sheetData>
    <row r="1" spans="1:14" ht="26" customHeight="1" thickBot="1" x14ac:dyDescent="0.25">
      <c r="A1" s="101"/>
      <c r="B1" s="285" t="s">
        <v>151</v>
      </c>
      <c r="C1" s="287" t="s">
        <v>146</v>
      </c>
      <c r="D1" s="288"/>
      <c r="E1" s="288"/>
      <c r="F1" s="288" t="s">
        <v>147</v>
      </c>
      <c r="G1" s="288"/>
      <c r="H1" s="289"/>
    </row>
    <row r="2" spans="1:14" ht="21" thickBot="1" x14ac:dyDescent="0.25">
      <c r="A2" s="101"/>
      <c r="B2" s="286"/>
      <c r="C2" s="102" t="s">
        <v>148</v>
      </c>
      <c r="D2" s="103" t="s">
        <v>149</v>
      </c>
      <c r="E2" s="103" t="s">
        <v>150</v>
      </c>
      <c r="F2" s="103" t="s">
        <v>148</v>
      </c>
      <c r="G2" s="103" t="s">
        <v>149</v>
      </c>
      <c r="H2" s="104" t="s">
        <v>150</v>
      </c>
    </row>
    <row r="3" spans="1:14" ht="24" customHeight="1" x14ac:dyDescent="0.2">
      <c r="B3" s="221" t="s">
        <v>32</v>
      </c>
      <c r="C3" s="222">
        <f>'S3-Seasonal Naive'!AX32</f>
        <v>142.54761904761904</v>
      </c>
      <c r="D3" s="222">
        <f>'S3-Seasonal Naive'!AX33</f>
        <v>295.16666666666669</v>
      </c>
      <c r="E3" s="222">
        <f>'S3-Seasonal Naive'!AX35</f>
        <v>432.15134584342752</v>
      </c>
      <c r="F3" s="222">
        <f>'S3-Seasonal Naive'!BE32</f>
        <v>9.1428571428571423</v>
      </c>
      <c r="G3" s="222">
        <f>'S3-Seasonal Naive'!BE33</f>
        <v>362.28571428571428</v>
      </c>
      <c r="H3" s="223">
        <f>'S3-Seasonal Naive'!BE35</f>
        <v>464.96697271342373</v>
      </c>
    </row>
    <row r="4" spans="1:14" ht="22" customHeight="1" x14ac:dyDescent="0.2">
      <c r="B4" s="107" t="s">
        <v>152</v>
      </c>
      <c r="C4" s="105">
        <f>'S3-Seasonal Average'!AX51</f>
        <v>262.35595238095237</v>
      </c>
      <c r="D4" s="105">
        <f>'S3-Seasonal Average'!AX52</f>
        <v>364.29642857142858</v>
      </c>
      <c r="E4" s="105">
        <f>'S3-Seasonal Average'!AX54</f>
        <v>504.74543374874798</v>
      </c>
      <c r="F4" s="105">
        <f>'S3-Seasonal Average'!BE51</f>
        <v>597.44897959183675</v>
      </c>
      <c r="G4" s="105">
        <f>'S3-Seasonal Average'!BE52</f>
        <v>597.44897959183675</v>
      </c>
      <c r="H4" s="106">
        <f>'S3-Seasonal Average'!BE54</f>
        <v>676.35366264102549</v>
      </c>
    </row>
    <row r="5" spans="1:14" ht="22" customHeight="1" x14ac:dyDescent="0.2">
      <c r="B5" s="107" t="s">
        <v>153</v>
      </c>
      <c r="C5" s="105">
        <f>'S3-Seasonal Average'!AX61</f>
        <v>142.54761904761904</v>
      </c>
      <c r="D5" s="105">
        <f>'S3-Seasonal Average'!AX62</f>
        <v>295.16666666666669</v>
      </c>
      <c r="E5" s="105">
        <f>'S3-Seasonal Average'!AX64</f>
        <v>432.15134584342752</v>
      </c>
      <c r="F5" s="105">
        <f>'S3-Seasonal Average'!BE61</f>
        <v>9.1428571428572081</v>
      </c>
      <c r="G5" s="105">
        <f>'S3-Seasonal Average'!BE62</f>
        <v>362.28571428571422</v>
      </c>
      <c r="H5" s="106">
        <f>'S3-Seasonal Average'!BE64</f>
        <v>464.96697271342367</v>
      </c>
    </row>
    <row r="6" spans="1:14" ht="21" customHeight="1" x14ac:dyDescent="0.2">
      <c r="B6" s="224" t="s">
        <v>52</v>
      </c>
      <c r="C6" s="222">
        <f>'S3-Seasonal Average'!AX71</f>
        <v>142.54761904761904</v>
      </c>
      <c r="D6" s="222">
        <f>'S3-Seasonal Average'!AX72</f>
        <v>311.8221618341197</v>
      </c>
      <c r="E6" s="222">
        <f>'S3-Seasonal Average'!AX74</f>
        <v>440.12434855619637</v>
      </c>
      <c r="F6" s="222">
        <f>'S3-Seasonal Average'!BE71</f>
        <v>9.1428571428571423</v>
      </c>
      <c r="G6" s="222">
        <f>'S3-Seasonal Average'!BE72</f>
        <v>231.42250319475377</v>
      </c>
      <c r="H6" s="223">
        <f>'S3-Seasonal Average'!BE74</f>
        <v>321.60710313068012</v>
      </c>
    </row>
    <row r="7" spans="1:14" ht="21" customHeight="1" x14ac:dyDescent="0.2">
      <c r="B7" s="107" t="s">
        <v>53</v>
      </c>
      <c r="C7" s="105">
        <f>'S3-Seasonal Average'!AX81</f>
        <v>194.02399069477102</v>
      </c>
      <c r="D7" s="105">
        <f>'S3-Seasonal Average'!AX82</f>
        <v>319.64511504145889</v>
      </c>
      <c r="E7" s="105">
        <f>'S3-Seasonal Average'!AX84</f>
        <v>458.90539809818495</v>
      </c>
      <c r="F7" s="105">
        <f>'S3-Seasonal Average'!BE81</f>
        <v>-17.882998824951137</v>
      </c>
      <c r="G7" s="105">
        <f>'S3-Seasonal Average'!BE82</f>
        <v>327.55885418851045</v>
      </c>
      <c r="H7" s="106">
        <f>'S3-Seasonal Average'!BE84</f>
        <v>383.25991969357437</v>
      </c>
    </row>
    <row r="8" spans="1:14" ht="23" customHeight="1" x14ac:dyDescent="0.2">
      <c r="B8" s="224" t="s">
        <v>173</v>
      </c>
      <c r="C8" s="222">
        <f>'S3-Seasonal Exp. Smoothing'!AY49</f>
        <v>49.579890907774612</v>
      </c>
      <c r="D8" s="222">
        <f>'S3-Seasonal Exp. Smoothing'!AY50</f>
        <v>249.75251966435891</v>
      </c>
      <c r="E8" s="222">
        <f>'S3-Seasonal Exp. Smoothing'!AY52</f>
        <v>340.53064871291082</v>
      </c>
      <c r="F8" s="222">
        <f>'S3-Seasonal Exp. Smoothing'!BF49</f>
        <v>21.276286035381709</v>
      </c>
      <c r="G8" s="222">
        <f>'S3-Seasonal Exp. Smoothing'!BF50</f>
        <v>211.70191833203057</v>
      </c>
      <c r="H8" s="223">
        <f>'S3-Seasonal Exp. Smoothing'!BF52</f>
        <v>329.39595211028785</v>
      </c>
    </row>
    <row r="9" spans="1:14" ht="23" customHeight="1" thickBot="1" x14ac:dyDescent="0.25">
      <c r="B9" s="245" t="s">
        <v>269</v>
      </c>
      <c r="C9" s="108">
        <f>'S3-Seasonal Exp. Smoothing'!AY61</f>
        <v>-24.943683792848944</v>
      </c>
      <c r="D9" s="108">
        <f>'S3-Seasonal Exp. Smoothing'!AY62</f>
        <v>256.28407123300178</v>
      </c>
      <c r="E9" s="108">
        <f>'S3-Seasonal Exp. Smoothing'!AZ64</f>
        <v>34.605002387474542</v>
      </c>
      <c r="F9" s="108">
        <f>'S3-Seasonal Exp. Smoothing'!BF61</f>
        <v>135.05106146576856</v>
      </c>
      <c r="G9" s="108">
        <f>'S3-Seasonal Exp. Smoothing'!BF62</f>
        <v>254.56757312362524</v>
      </c>
      <c r="H9" s="109">
        <f>'S3-Seasonal Exp. Smoothing'!BF64</f>
        <v>371.35202265744829</v>
      </c>
    </row>
    <row r="11" spans="1:14" ht="16" thickBot="1" x14ac:dyDescent="0.25"/>
    <row r="12" spans="1:14" ht="16" thickBot="1" x14ac:dyDescent="0.25">
      <c r="K12" s="290" t="s">
        <v>146</v>
      </c>
      <c r="L12" s="291"/>
      <c r="M12" s="291"/>
      <c r="N12" s="292"/>
    </row>
    <row r="13" spans="1:14" ht="17" thickBot="1" x14ac:dyDescent="0.25">
      <c r="K13" s="122"/>
      <c r="L13" s="123" t="s">
        <v>148</v>
      </c>
      <c r="M13" s="124" t="s">
        <v>149</v>
      </c>
      <c r="N13" s="125" t="s">
        <v>150</v>
      </c>
    </row>
    <row r="14" spans="1:14" ht="16" x14ac:dyDescent="0.2">
      <c r="K14" s="116" t="s">
        <v>32</v>
      </c>
      <c r="L14" s="118">
        <f>C3</f>
        <v>142.54761904761904</v>
      </c>
      <c r="M14" s="118">
        <f>D3</f>
        <v>295.16666666666669</v>
      </c>
      <c r="N14" s="119">
        <f>E3</f>
        <v>432.15134584342752</v>
      </c>
    </row>
    <row r="15" spans="1:14" ht="40" customHeight="1" x14ac:dyDescent="0.2">
      <c r="K15" s="107" t="s">
        <v>52</v>
      </c>
      <c r="L15" s="118">
        <f>C6</f>
        <v>142.54761904761904</v>
      </c>
      <c r="M15" s="118">
        <f>D6</f>
        <v>311.8221618341197</v>
      </c>
      <c r="N15" s="119">
        <f>E6</f>
        <v>440.12434855619637</v>
      </c>
    </row>
    <row r="16" spans="1:14" ht="33" thickBot="1" x14ac:dyDescent="0.25">
      <c r="K16" s="117" t="s">
        <v>64</v>
      </c>
      <c r="L16" s="120">
        <f>C8</f>
        <v>49.579890907774612</v>
      </c>
      <c r="M16" s="120">
        <f>D8</f>
        <v>249.75251966435891</v>
      </c>
      <c r="N16" s="121">
        <f>E8</f>
        <v>340.53064871291082</v>
      </c>
    </row>
    <row r="17" spans="11:14" ht="16" thickBot="1" x14ac:dyDescent="0.25">
      <c r="K17" s="290" t="s">
        <v>147</v>
      </c>
      <c r="L17" s="291"/>
      <c r="M17" s="291"/>
      <c r="N17" s="292"/>
    </row>
    <row r="18" spans="11:14" ht="17" thickBot="1" x14ac:dyDescent="0.25">
      <c r="K18" s="122"/>
      <c r="L18" s="123" t="s">
        <v>148</v>
      </c>
      <c r="M18" s="124" t="s">
        <v>149</v>
      </c>
      <c r="N18" s="125" t="s">
        <v>150</v>
      </c>
    </row>
    <row r="19" spans="11:14" ht="16" x14ac:dyDescent="0.2">
      <c r="K19" s="116" t="s">
        <v>32</v>
      </c>
      <c r="L19" s="118">
        <f>F3</f>
        <v>9.1428571428571423</v>
      </c>
      <c r="M19" s="118">
        <f>G3</f>
        <v>362.28571428571428</v>
      </c>
      <c r="N19" s="119">
        <f>H3</f>
        <v>464.96697271342373</v>
      </c>
    </row>
    <row r="20" spans="11:14" ht="34" x14ac:dyDescent="0.2">
      <c r="K20" s="107" t="s">
        <v>52</v>
      </c>
      <c r="L20" s="118">
        <f>F6</f>
        <v>9.1428571428571423</v>
      </c>
      <c r="M20" s="118">
        <f>G6</f>
        <v>231.42250319475377</v>
      </c>
      <c r="N20" s="119">
        <f>H6</f>
        <v>321.60710313068012</v>
      </c>
    </row>
    <row r="21" spans="11:14" ht="33" thickBot="1" x14ac:dyDescent="0.25">
      <c r="K21" s="117" t="s">
        <v>64</v>
      </c>
      <c r="L21" s="120">
        <f>F8</f>
        <v>21.276286035381709</v>
      </c>
      <c r="M21" s="120">
        <f>G8</f>
        <v>211.70191833203057</v>
      </c>
      <c r="N21" s="121">
        <f>H8</f>
        <v>329.39595211028785</v>
      </c>
    </row>
  </sheetData>
  <mergeCells count="5">
    <mergeCell ref="B1:B2"/>
    <mergeCell ref="C1:E1"/>
    <mergeCell ref="F1:H1"/>
    <mergeCell ref="K12:N12"/>
    <mergeCell ref="K17:N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0346-CE5F-C446-A0B8-A97B9F29ABE8}">
  <sheetPr>
    <tabColor theme="9" tint="0.59999389629810485"/>
  </sheetPr>
  <dimension ref="A1:B100"/>
  <sheetViews>
    <sheetView workbookViewId="0">
      <selection activeCell="G11" sqref="G11"/>
    </sheetView>
  </sheetViews>
  <sheetFormatPr baseColWidth="10" defaultRowHeight="15" x14ac:dyDescent="0.2"/>
  <sheetData>
    <row r="1" spans="1:2" x14ac:dyDescent="0.2">
      <c r="A1" s="209">
        <v>2.1444251770826175E-2</v>
      </c>
      <c r="B1" s="210">
        <v>0.41353951227550373</v>
      </c>
    </row>
    <row r="2" spans="1:2" x14ac:dyDescent="0.2">
      <c r="A2" s="211">
        <v>0.3585828143910425</v>
      </c>
      <c r="B2" s="212">
        <v>0.70136147025104678</v>
      </c>
    </row>
    <row r="3" spans="1:2" x14ac:dyDescent="0.2">
      <c r="A3" s="211">
        <v>0.78223050934366445</v>
      </c>
      <c r="B3" s="212">
        <v>0.94817053896755465</v>
      </c>
    </row>
    <row r="4" spans="1:2" x14ac:dyDescent="0.2">
      <c r="A4" s="211">
        <v>0.9022484276919851</v>
      </c>
      <c r="B4" s="212">
        <v>8.9324219193926177E-2</v>
      </c>
    </row>
    <row r="5" spans="1:2" x14ac:dyDescent="0.2">
      <c r="A5" s="211">
        <v>0.27215199231735987</v>
      </c>
      <c r="B5" s="212">
        <v>5.853487786768697E-2</v>
      </c>
    </row>
    <row r="6" spans="1:2" x14ac:dyDescent="0.2">
      <c r="A6" s="211">
        <v>0.79569232221492203</v>
      </c>
      <c r="B6" s="212">
        <v>0.20085946619550674</v>
      </c>
    </row>
    <row r="7" spans="1:2" x14ac:dyDescent="0.2">
      <c r="A7" s="211">
        <v>0.84504834788155203</v>
      </c>
      <c r="B7" s="212">
        <v>0.72758284524436245</v>
      </c>
    </row>
    <row r="8" spans="1:2" x14ac:dyDescent="0.2">
      <c r="A8" s="211">
        <v>0.48488002199906854</v>
      </c>
      <c r="B8" s="212">
        <v>0.37852973834543013</v>
      </c>
    </row>
    <row r="9" spans="1:2" x14ac:dyDescent="0.2">
      <c r="A9" s="211">
        <v>0.94931237164387128</v>
      </c>
      <c r="B9" s="212">
        <v>9.3030218543964538E-2</v>
      </c>
    </row>
    <row r="10" spans="1:2" x14ac:dyDescent="0.2">
      <c r="A10" s="211">
        <v>0.55888306841202218</v>
      </c>
      <c r="B10" s="212">
        <v>0.14773080085764212</v>
      </c>
    </row>
    <row r="11" spans="1:2" x14ac:dyDescent="0.2">
      <c r="A11" s="211">
        <v>0.91157001439089425</v>
      </c>
      <c r="B11" s="212">
        <v>0.75723186775913087</v>
      </c>
    </row>
    <row r="12" spans="1:2" x14ac:dyDescent="0.2">
      <c r="A12" s="211">
        <v>0.79600142771191962</v>
      </c>
      <c r="B12" s="212">
        <v>0.39599555423296778</v>
      </c>
    </row>
    <row r="13" spans="1:2" x14ac:dyDescent="0.2">
      <c r="A13" s="211">
        <v>0.4972799934899807</v>
      </c>
      <c r="B13" s="212">
        <v>0.78485058610553415</v>
      </c>
    </row>
    <row r="14" spans="1:2" x14ac:dyDescent="0.2">
      <c r="A14" s="211">
        <v>0.98380067571243301</v>
      </c>
      <c r="B14" s="212">
        <v>0.73795669886188431</v>
      </c>
    </row>
    <row r="15" spans="1:2" x14ac:dyDescent="0.2">
      <c r="A15" s="211">
        <v>0.83823777168907121</v>
      </c>
      <c r="B15" s="212">
        <v>0.26222877821988833</v>
      </c>
    </row>
    <row r="16" spans="1:2" x14ac:dyDescent="0.2">
      <c r="A16" s="211">
        <v>0.27907554166348442</v>
      </c>
      <c r="B16" s="212">
        <v>0.42262873818288965</v>
      </c>
    </row>
    <row r="17" spans="1:2" x14ac:dyDescent="0.2">
      <c r="A17" s="211">
        <v>0.12120263982620214</v>
      </c>
      <c r="B17" s="212">
        <v>5.2767558979227934E-2</v>
      </c>
    </row>
    <row r="18" spans="1:2" x14ac:dyDescent="0.2">
      <c r="A18" s="211">
        <v>0.86436376388387925</v>
      </c>
      <c r="B18" s="212">
        <v>0.36177959635936635</v>
      </c>
    </row>
    <row r="19" spans="1:2" x14ac:dyDescent="0.2">
      <c r="A19" s="211">
        <v>0.42967601187046434</v>
      </c>
      <c r="B19" s="212">
        <v>0.56473150689375196</v>
      </c>
    </row>
    <row r="20" spans="1:2" x14ac:dyDescent="0.2">
      <c r="A20" s="211">
        <v>0.44243636328840458</v>
      </c>
      <c r="B20" s="212">
        <v>2.7957788215930476E-2</v>
      </c>
    </row>
    <row r="21" spans="1:2" x14ac:dyDescent="0.2">
      <c r="A21" s="211">
        <v>0.88654654514349374</v>
      </c>
      <c r="B21" s="212">
        <v>0.18778422669870046</v>
      </c>
    </row>
    <row r="22" spans="1:2" x14ac:dyDescent="0.2">
      <c r="A22" s="211">
        <v>8.9498125058365116E-2</v>
      </c>
      <c r="B22" s="212">
        <v>0.19498785594244852</v>
      </c>
    </row>
    <row r="23" spans="1:2" x14ac:dyDescent="0.2">
      <c r="A23" s="211">
        <v>0.16089482473251168</v>
      </c>
      <c r="B23" s="212">
        <v>0.15931927932394635</v>
      </c>
    </row>
    <row r="24" spans="1:2" x14ac:dyDescent="0.2">
      <c r="A24" s="211">
        <v>0.67912759756628782</v>
      </c>
      <c r="B24" s="212">
        <v>9.7532296598671145E-2</v>
      </c>
    </row>
    <row r="25" spans="1:2" x14ac:dyDescent="0.2">
      <c r="A25" s="211">
        <v>0.22530893386588849</v>
      </c>
      <c r="B25" s="212">
        <v>0.76725148398766829</v>
      </c>
    </row>
    <row r="26" spans="1:2" x14ac:dyDescent="0.2">
      <c r="A26" s="211">
        <v>0.19569138074093098</v>
      </c>
      <c r="B26" s="212">
        <v>0.98503611282680004</v>
      </c>
    </row>
    <row r="27" spans="1:2" x14ac:dyDescent="0.2">
      <c r="A27" s="211">
        <v>0.50194828002804348</v>
      </c>
      <c r="B27" s="212">
        <v>0.2447424313261837</v>
      </c>
    </row>
    <row r="28" spans="1:2" x14ac:dyDescent="0.2">
      <c r="A28" s="211">
        <v>0.3860432991692998</v>
      </c>
      <c r="B28" s="212">
        <v>0.22972913842169992</v>
      </c>
    </row>
    <row r="29" spans="1:2" x14ac:dyDescent="0.2">
      <c r="A29" s="211">
        <v>5.7629453510804778E-2</v>
      </c>
      <c r="B29" s="212">
        <v>0.57822515609591507</v>
      </c>
    </row>
    <row r="30" spans="1:2" x14ac:dyDescent="0.2">
      <c r="A30" s="211">
        <v>0.23019850404476677</v>
      </c>
      <c r="B30" s="212">
        <v>0.94625748039514646</v>
      </c>
    </row>
    <row r="31" spans="1:2" x14ac:dyDescent="0.2">
      <c r="A31" s="211">
        <v>0.74947300122560612</v>
      </c>
      <c r="B31" s="212">
        <v>0.39273159876127334</v>
      </c>
    </row>
    <row r="32" spans="1:2" x14ac:dyDescent="0.2">
      <c r="A32" s="211">
        <v>0.63998038072138108</v>
      </c>
      <c r="B32" s="212">
        <v>0.15025878425233941</v>
      </c>
    </row>
    <row r="33" spans="1:2" x14ac:dyDescent="0.2">
      <c r="A33" s="211">
        <v>0.39938692906842888</v>
      </c>
      <c r="B33" s="212">
        <v>0.49611685308446962</v>
      </c>
    </row>
    <row r="34" spans="1:2" x14ac:dyDescent="0.2">
      <c r="A34" s="211">
        <v>0.23594979068075764</v>
      </c>
      <c r="B34" s="212">
        <v>0.60813197149342479</v>
      </c>
    </row>
    <row r="35" spans="1:2" x14ac:dyDescent="0.2">
      <c r="A35" s="211">
        <v>0.87404488999119256</v>
      </c>
      <c r="B35" s="212">
        <v>7.2466081973382307E-2</v>
      </c>
    </row>
    <row r="36" spans="1:2" x14ac:dyDescent="0.2">
      <c r="A36" s="211">
        <v>0.93743972663648412</v>
      </c>
      <c r="B36" s="212">
        <v>0.54948557938890796</v>
      </c>
    </row>
    <row r="37" spans="1:2" x14ac:dyDescent="0.2">
      <c r="A37" s="211">
        <v>0.20413278937532231</v>
      </c>
      <c r="B37" s="212">
        <v>0.8597910310420166</v>
      </c>
    </row>
    <row r="38" spans="1:2" x14ac:dyDescent="0.2">
      <c r="A38" s="211">
        <v>0.50785872317285219</v>
      </c>
      <c r="B38" s="212">
        <v>0.58156036612650397</v>
      </c>
    </row>
    <row r="39" spans="1:2" x14ac:dyDescent="0.2">
      <c r="A39" s="211">
        <v>0.2850734881521545</v>
      </c>
      <c r="B39" s="212">
        <v>0.2301153732603953</v>
      </c>
    </row>
    <row r="40" spans="1:2" x14ac:dyDescent="0.2">
      <c r="A40" s="211">
        <v>0.54907838746396753</v>
      </c>
      <c r="B40" s="212">
        <v>0.36045810690170998</v>
      </c>
    </row>
    <row r="41" spans="1:2" x14ac:dyDescent="0.2">
      <c r="A41" s="211">
        <v>0.21940269703948995</v>
      </c>
      <c r="B41" s="212">
        <v>0.50112914270773956</v>
      </c>
    </row>
    <row r="42" spans="1:2" x14ac:dyDescent="0.2">
      <c r="A42" s="211">
        <v>0.47750148897874239</v>
      </c>
      <c r="B42" s="212">
        <v>0.36752526572324579</v>
      </c>
    </row>
    <row r="43" spans="1:2" x14ac:dyDescent="0.2">
      <c r="A43" s="211">
        <v>0.99714101059229165</v>
      </c>
      <c r="B43" s="212">
        <v>0.94896502464495835</v>
      </c>
    </row>
    <row r="44" spans="1:2" x14ac:dyDescent="0.2">
      <c r="A44" s="211">
        <v>0.25516920781469399</v>
      </c>
      <c r="B44" s="212">
        <v>0.62887574156228254</v>
      </c>
    </row>
    <row r="45" spans="1:2" x14ac:dyDescent="0.2">
      <c r="A45" s="211">
        <v>0.51458843728275427</v>
      </c>
      <c r="B45" s="212">
        <v>0.68786541125172074</v>
      </c>
    </row>
    <row r="46" spans="1:2" x14ac:dyDescent="0.2">
      <c r="A46" s="211">
        <v>0.95396690766977466</v>
      </c>
      <c r="B46" s="212">
        <v>0.3218172059030352</v>
      </c>
    </row>
    <row r="47" spans="1:2" x14ac:dyDescent="0.2">
      <c r="A47" s="211">
        <v>0.78177961231292203</v>
      </c>
      <c r="B47" s="212">
        <v>0.36994414328129221</v>
      </c>
    </row>
    <row r="48" spans="1:2" x14ac:dyDescent="0.2">
      <c r="A48" s="211">
        <v>0.65121612867862733</v>
      </c>
      <c r="B48" s="212">
        <v>0.98947470169024299</v>
      </c>
    </row>
    <row r="49" spans="1:2" x14ac:dyDescent="0.2">
      <c r="A49" s="211">
        <v>0.10131130791330305</v>
      </c>
      <c r="B49" s="212">
        <v>0.73915209888441125</v>
      </c>
    </row>
    <row r="50" spans="1:2" x14ac:dyDescent="0.2">
      <c r="A50" s="211">
        <v>0.92932595029907583</v>
      </c>
      <c r="B50" s="212">
        <v>0.1812466765666598</v>
      </c>
    </row>
    <row r="51" spans="1:2" x14ac:dyDescent="0.2">
      <c r="A51" s="211">
        <v>0.21289305585105581</v>
      </c>
      <c r="B51" s="212">
        <v>9.3589688694844811E-2</v>
      </c>
    </row>
    <row r="52" spans="1:2" x14ac:dyDescent="0.2">
      <c r="A52" s="211">
        <v>0.96189789425670069</v>
      </c>
      <c r="B52" s="212">
        <v>0.61790877236887287</v>
      </c>
    </row>
    <row r="53" spans="1:2" x14ac:dyDescent="0.2">
      <c r="A53" s="211">
        <v>0.19273720364679453</v>
      </c>
      <c r="B53" s="212">
        <v>0.33418169167553152</v>
      </c>
    </row>
    <row r="54" spans="1:2" x14ac:dyDescent="0.2">
      <c r="A54" s="211">
        <v>0.59169199065849742</v>
      </c>
      <c r="B54" s="212">
        <v>0.56728699736636456</v>
      </c>
    </row>
    <row r="55" spans="1:2" x14ac:dyDescent="0.2">
      <c r="A55" s="211">
        <v>0.39256473648946955</v>
      </c>
      <c r="B55" s="212">
        <v>0.83552617851436428</v>
      </c>
    </row>
    <row r="56" spans="1:2" x14ac:dyDescent="0.2">
      <c r="A56" s="211">
        <v>0.68848229092009472</v>
      </c>
      <c r="B56" s="212">
        <v>0.32186349403199904</v>
      </c>
    </row>
    <row r="57" spans="1:2" x14ac:dyDescent="0.2">
      <c r="A57" s="211">
        <v>0.55974419580760604</v>
      </c>
      <c r="B57" s="212">
        <v>0.62069893843526902</v>
      </c>
    </row>
    <row r="58" spans="1:2" x14ac:dyDescent="0.2">
      <c r="A58" s="211">
        <v>8.7058281566509174E-2</v>
      </c>
      <c r="B58" s="212">
        <v>0.18853828831973407</v>
      </c>
    </row>
    <row r="59" spans="1:2" x14ac:dyDescent="0.2">
      <c r="A59" s="211">
        <v>0.76301178977033668</v>
      </c>
      <c r="B59" s="212">
        <v>0.93915067004931652</v>
      </c>
    </row>
    <row r="60" spans="1:2" x14ac:dyDescent="0.2">
      <c r="A60" s="211">
        <v>0.30531151886345426</v>
      </c>
      <c r="B60" s="212">
        <v>0.3706975380753621</v>
      </c>
    </row>
    <row r="61" spans="1:2" x14ac:dyDescent="0.2">
      <c r="A61" s="211">
        <v>0.31352243261110152</v>
      </c>
      <c r="B61" s="212">
        <v>0.37152489478305212</v>
      </c>
    </row>
    <row r="62" spans="1:2" x14ac:dyDescent="0.2">
      <c r="A62" s="211">
        <v>0.21890661875666428</v>
      </c>
      <c r="B62" s="212">
        <v>0.16354144325644776</v>
      </c>
    </row>
    <row r="63" spans="1:2" x14ac:dyDescent="0.2">
      <c r="A63" s="211">
        <v>0.64103681111756561</v>
      </c>
      <c r="B63" s="212">
        <v>0.9056844529256618</v>
      </c>
    </row>
    <row r="64" spans="1:2" x14ac:dyDescent="0.2">
      <c r="A64" s="211">
        <v>0.83860032159769926</v>
      </c>
      <c r="B64" s="212">
        <v>0.35560509253088624</v>
      </c>
    </row>
    <row r="65" spans="1:2" x14ac:dyDescent="0.2">
      <c r="A65" s="211">
        <v>0.65479016660470057</v>
      </c>
      <c r="B65" s="212">
        <v>5.8330125202578548E-2</v>
      </c>
    </row>
    <row r="66" spans="1:2" x14ac:dyDescent="0.2">
      <c r="A66" s="211">
        <v>0.35441427973770268</v>
      </c>
      <c r="B66" s="212">
        <v>0.64079955156929769</v>
      </c>
    </row>
    <row r="67" spans="1:2" x14ac:dyDescent="0.2">
      <c r="A67" s="211">
        <v>0.91806322518645933</v>
      </c>
      <c r="B67" s="212">
        <v>0.88862570882245229</v>
      </c>
    </row>
    <row r="68" spans="1:2" x14ac:dyDescent="0.2">
      <c r="A68" s="211">
        <v>0.13228817895627029</v>
      </c>
      <c r="B68" s="212">
        <v>0.36742371803495277</v>
      </c>
    </row>
    <row r="69" spans="1:2" x14ac:dyDescent="0.2">
      <c r="A69" s="211">
        <v>0.29042901345082978</v>
      </c>
      <c r="B69" s="212">
        <v>0.24042906809618186</v>
      </c>
    </row>
    <row r="70" spans="1:2" x14ac:dyDescent="0.2">
      <c r="A70" s="211">
        <v>0.89134749252877543</v>
      </c>
      <c r="B70" s="212">
        <v>0.877306931129334</v>
      </c>
    </row>
    <row r="71" spans="1:2" x14ac:dyDescent="0.2">
      <c r="A71" s="211">
        <v>0.89759149071648325</v>
      </c>
      <c r="B71" s="212">
        <v>0.82018447193325705</v>
      </c>
    </row>
    <row r="72" spans="1:2" x14ac:dyDescent="0.2">
      <c r="A72" s="211">
        <v>0.84041978225131508</v>
      </c>
      <c r="B72" s="212">
        <v>0.93528029785271749</v>
      </c>
    </row>
    <row r="73" spans="1:2" x14ac:dyDescent="0.2">
      <c r="A73" s="211">
        <v>0.25596601062266439</v>
      </c>
      <c r="B73" s="212">
        <v>2.074053511989328E-2</v>
      </c>
    </row>
    <row r="74" spans="1:2" x14ac:dyDescent="0.2">
      <c r="A74" s="211">
        <v>0.58617376004633204</v>
      </c>
      <c r="B74" s="212">
        <v>0.82238509870245358</v>
      </c>
    </row>
    <row r="75" spans="1:2" x14ac:dyDescent="0.2">
      <c r="A75" s="211">
        <v>0.82635389213746124</v>
      </c>
      <c r="B75" s="212">
        <v>0.52986515431192949</v>
      </c>
    </row>
    <row r="76" spans="1:2" x14ac:dyDescent="0.2">
      <c r="A76" s="211">
        <v>0.4436485205980244</v>
      </c>
      <c r="B76" s="212">
        <v>0.40068569099562507</v>
      </c>
    </row>
    <row r="77" spans="1:2" x14ac:dyDescent="0.2">
      <c r="A77" s="211">
        <v>0.32440856347065816</v>
      </c>
      <c r="B77" s="212">
        <v>0.33472625135198525</v>
      </c>
    </row>
    <row r="78" spans="1:2" x14ac:dyDescent="0.2">
      <c r="A78" s="211">
        <v>0.74410647281636788</v>
      </c>
      <c r="B78" s="212">
        <v>0.19748862469451903</v>
      </c>
    </row>
    <row r="79" spans="1:2" x14ac:dyDescent="0.2">
      <c r="A79" s="211">
        <v>0.19131524078143539</v>
      </c>
      <c r="B79" s="212">
        <v>0.43525181358459025</v>
      </c>
    </row>
    <row r="80" spans="1:2" x14ac:dyDescent="0.2">
      <c r="A80" s="211">
        <v>0.27723091620822943</v>
      </c>
      <c r="B80" s="212">
        <v>0.42000871171243892</v>
      </c>
    </row>
    <row r="81" spans="1:2" x14ac:dyDescent="0.2">
      <c r="A81" s="211">
        <v>8.6417750961341785E-2</v>
      </c>
      <c r="B81" s="212">
        <v>0.42314040727128294</v>
      </c>
    </row>
    <row r="82" spans="1:2" x14ac:dyDescent="0.2">
      <c r="A82" s="211">
        <v>0.72082500845232278</v>
      </c>
      <c r="B82" s="212">
        <v>0.90591705818936097</v>
      </c>
    </row>
    <row r="83" spans="1:2" x14ac:dyDescent="0.2">
      <c r="A83" s="211">
        <v>0.7479969885889427</v>
      </c>
      <c r="B83" s="212">
        <v>0.585387214359542</v>
      </c>
    </row>
    <row r="84" spans="1:2" x14ac:dyDescent="0.2">
      <c r="A84" s="211">
        <v>0.60291174082221077</v>
      </c>
      <c r="B84" s="212">
        <v>0.13762799889670127</v>
      </c>
    </row>
    <row r="85" spans="1:2" x14ac:dyDescent="0.2">
      <c r="A85" s="211">
        <v>0.11377745685809174</v>
      </c>
      <c r="B85" s="212">
        <v>0.25771741394778591</v>
      </c>
    </row>
    <row r="86" spans="1:2" x14ac:dyDescent="0.2">
      <c r="A86" s="211">
        <v>0.45657622043815266</v>
      </c>
      <c r="B86" s="212">
        <v>0.67653690403166078</v>
      </c>
    </row>
    <row r="87" spans="1:2" x14ac:dyDescent="0.2">
      <c r="A87" s="211">
        <v>0.55574606012354888</v>
      </c>
      <c r="B87" s="212">
        <v>0.42403249648587427</v>
      </c>
    </row>
    <row r="88" spans="1:2" x14ac:dyDescent="0.2">
      <c r="A88" s="211">
        <v>0.71416843808915864</v>
      </c>
      <c r="B88" s="212">
        <v>2.8938964488422016E-2</v>
      </c>
    </row>
    <row r="89" spans="1:2" x14ac:dyDescent="0.2">
      <c r="A89" s="211">
        <v>0.37717615690882139</v>
      </c>
      <c r="B89" s="212">
        <v>0.19966916656106207</v>
      </c>
    </row>
    <row r="90" spans="1:2" x14ac:dyDescent="0.2">
      <c r="A90" s="211">
        <v>0.83968239177003612</v>
      </c>
      <c r="B90" s="212">
        <v>0.54195847899744221</v>
      </c>
    </row>
    <row r="91" spans="1:2" x14ac:dyDescent="0.2">
      <c r="A91" s="211">
        <v>0.69615651001043455</v>
      </c>
      <c r="B91" s="212">
        <v>0.30246374537351717</v>
      </c>
    </row>
    <row r="92" spans="1:2" x14ac:dyDescent="0.2">
      <c r="A92" s="211">
        <v>0.5081684927028457</v>
      </c>
      <c r="B92" s="212">
        <v>0.78785685672790595</v>
      </c>
    </row>
    <row r="93" spans="1:2" x14ac:dyDescent="0.2">
      <c r="A93" s="211">
        <v>0.51019102591564458</v>
      </c>
      <c r="B93" s="212">
        <v>0.78057256423894905</v>
      </c>
    </row>
    <row r="94" spans="1:2" x14ac:dyDescent="0.2">
      <c r="A94" s="211">
        <v>8.3087164016015444E-2</v>
      </c>
      <c r="B94" s="212">
        <v>0.44596561717147271</v>
      </c>
    </row>
    <row r="95" spans="1:2" x14ac:dyDescent="0.2">
      <c r="A95" s="211">
        <v>0.34412780094152678</v>
      </c>
      <c r="B95" s="212">
        <v>0.75595042424087899</v>
      </c>
    </row>
    <row r="96" spans="1:2" x14ac:dyDescent="0.2">
      <c r="A96" s="211">
        <v>0.25878021645302896</v>
      </c>
      <c r="B96" s="212">
        <v>0.31909792605745507</v>
      </c>
    </row>
    <row r="97" spans="1:2" x14ac:dyDescent="0.2">
      <c r="A97" s="211">
        <v>7.8843247647789882E-2</v>
      </c>
      <c r="B97" s="212">
        <v>0.11846321640464627</v>
      </c>
    </row>
    <row r="98" spans="1:2" x14ac:dyDescent="0.2">
      <c r="A98" s="211">
        <v>1.1278112889862671E-2</v>
      </c>
      <c r="B98" s="212">
        <v>0.55124333992192676</v>
      </c>
    </row>
    <row r="99" spans="1:2" x14ac:dyDescent="0.2">
      <c r="A99" s="211">
        <v>0.7468140678232601</v>
      </c>
      <c r="B99" s="212">
        <v>0.70403790553288437</v>
      </c>
    </row>
    <row r="100" spans="1:2" ht="16" thickBot="1" x14ac:dyDescent="0.25">
      <c r="A100" s="213">
        <v>0.76507829118756498</v>
      </c>
      <c r="B100" s="214">
        <v>0.67083998940458522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2E4B-52FA-4F4F-BA5B-A16EBA8957C4}">
  <sheetPr>
    <tabColor theme="9" tint="0.59999389629810485"/>
  </sheetPr>
  <dimension ref="B1:T100"/>
  <sheetViews>
    <sheetView zoomScale="50" zoomScaleNormal="50" workbookViewId="0">
      <selection activeCell="N62" sqref="N62"/>
    </sheetView>
  </sheetViews>
  <sheetFormatPr baseColWidth="10" defaultRowHeight="15" x14ac:dyDescent="0.2"/>
  <cols>
    <col min="1" max="4" width="10.83203125" style="4"/>
    <col min="5" max="5" width="11.6640625" style="4" bestFit="1" customWidth="1"/>
    <col min="6" max="6" width="10.83203125" style="4"/>
    <col min="7" max="7" width="11.6640625" style="4" bestFit="1" customWidth="1"/>
    <col min="8" max="10" width="10.83203125" style="4"/>
    <col min="11" max="11" width="22.1640625" style="4" customWidth="1"/>
    <col min="12" max="12" width="21.1640625" style="4" customWidth="1"/>
    <col min="13" max="13" width="10.83203125" style="4"/>
    <col min="14" max="14" width="23" style="4" customWidth="1"/>
    <col min="15" max="15" width="22.5" style="4" customWidth="1"/>
    <col min="16" max="19" width="10.83203125" style="4"/>
    <col min="20" max="20" width="11.6640625" style="4" bestFit="1" customWidth="1"/>
    <col min="21" max="16384" width="10.83203125" style="4"/>
  </cols>
  <sheetData>
    <row r="1" spans="2:12" ht="16" thickBot="1" x14ac:dyDescent="0.25"/>
    <row r="2" spans="2:12" ht="17" thickBot="1" x14ac:dyDescent="0.25">
      <c r="B2" s="142" t="s">
        <v>72</v>
      </c>
      <c r="C2" s="141">
        <v>2740</v>
      </c>
    </row>
    <row r="4" spans="2:12" ht="16" thickBot="1" x14ac:dyDescent="0.25"/>
    <row r="5" spans="2:12" ht="33" thickBot="1" x14ac:dyDescent="0.25">
      <c r="B5" s="110" t="s">
        <v>73</v>
      </c>
      <c r="C5" s="111" t="s">
        <v>74</v>
      </c>
      <c r="D5" s="111" t="s">
        <v>75</v>
      </c>
      <c r="E5" s="111" t="s">
        <v>76</v>
      </c>
      <c r="F5" s="112" t="s">
        <v>73</v>
      </c>
    </row>
    <row r="6" spans="2:12" x14ac:dyDescent="0.2">
      <c r="B6" s="128">
        <v>0</v>
      </c>
      <c r="C6" s="127">
        <v>0.05</v>
      </c>
      <c r="D6" s="127">
        <f>SUM($C$6:C6)</f>
        <v>0.05</v>
      </c>
      <c r="E6" s="127">
        <v>0</v>
      </c>
      <c r="F6" s="129">
        <f>B6</f>
        <v>0</v>
      </c>
    </row>
    <row r="7" spans="2:12" x14ac:dyDescent="0.2">
      <c r="B7" s="130">
        <v>1</v>
      </c>
      <c r="C7" s="126">
        <v>0.1</v>
      </c>
      <c r="D7" s="126">
        <f>SUM($C$6:C7)</f>
        <v>0.15000000000000002</v>
      </c>
      <c r="E7" s="126">
        <f>D6</f>
        <v>0.05</v>
      </c>
      <c r="F7" s="131">
        <f t="shared" ref="F7:F10" si="0">B7</f>
        <v>1</v>
      </c>
    </row>
    <row r="8" spans="2:12" x14ac:dyDescent="0.2">
      <c r="B8" s="130">
        <v>2</v>
      </c>
      <c r="C8" s="126">
        <v>0.2</v>
      </c>
      <c r="D8" s="126">
        <f>SUM($C$6:C8)</f>
        <v>0.35000000000000003</v>
      </c>
      <c r="E8" s="126">
        <f>D7</f>
        <v>0.15000000000000002</v>
      </c>
      <c r="F8" s="131">
        <f t="shared" si="0"/>
        <v>2</v>
      </c>
    </row>
    <row r="9" spans="2:12" ht="16" thickBot="1" x14ac:dyDescent="0.25">
      <c r="B9" s="130">
        <v>3</v>
      </c>
      <c r="C9" s="126">
        <v>0.45</v>
      </c>
      <c r="D9" s="126">
        <f>SUM($C$6:C9)</f>
        <v>0.8</v>
      </c>
      <c r="E9" s="126">
        <f>D8</f>
        <v>0.35000000000000003</v>
      </c>
      <c r="F9" s="131">
        <f t="shared" si="0"/>
        <v>3</v>
      </c>
    </row>
    <row r="10" spans="2:12" ht="20" customHeight="1" thickBot="1" x14ac:dyDescent="0.25">
      <c r="B10" s="132">
        <v>4</v>
      </c>
      <c r="C10" s="133">
        <v>0.2</v>
      </c>
      <c r="D10" s="133">
        <f>SUM($C$6:C10)</f>
        <v>1</v>
      </c>
      <c r="E10" s="133">
        <f>D9</f>
        <v>0.8</v>
      </c>
      <c r="F10" s="134">
        <f t="shared" si="0"/>
        <v>4</v>
      </c>
      <c r="K10" s="135" t="s">
        <v>82</v>
      </c>
      <c r="L10" s="136">
        <v>500</v>
      </c>
    </row>
    <row r="11" spans="2:12" ht="16" x14ac:dyDescent="0.2">
      <c r="K11" s="51" t="s">
        <v>83</v>
      </c>
      <c r="L11" s="137">
        <v>10</v>
      </c>
    </row>
    <row r="12" spans="2:12" ht="17" thickBot="1" x14ac:dyDescent="0.25">
      <c r="K12" s="52" t="s">
        <v>84</v>
      </c>
      <c r="L12" s="138">
        <v>20</v>
      </c>
    </row>
    <row r="13" spans="2:12" ht="16" thickBot="1" x14ac:dyDescent="0.25"/>
    <row r="14" spans="2:12" ht="33" thickBot="1" x14ac:dyDescent="0.25">
      <c r="B14" s="110" t="s">
        <v>73</v>
      </c>
      <c r="C14" s="111" t="s">
        <v>74</v>
      </c>
      <c r="D14" s="111" t="s">
        <v>75</v>
      </c>
      <c r="E14" s="111" t="s">
        <v>76</v>
      </c>
      <c r="F14" s="112" t="s">
        <v>73</v>
      </c>
    </row>
    <row r="15" spans="2:12" ht="16" x14ac:dyDescent="0.2">
      <c r="B15" s="128">
        <v>2</v>
      </c>
      <c r="C15" s="127">
        <v>0.5</v>
      </c>
      <c r="D15" s="127">
        <f>SUM($C$15:C15)</f>
        <v>0.5</v>
      </c>
      <c r="E15" s="127">
        <v>0</v>
      </c>
      <c r="F15" s="129">
        <f>B15</f>
        <v>2</v>
      </c>
      <c r="K15" s="135" t="s">
        <v>85</v>
      </c>
      <c r="L15" s="136">
        <v>10</v>
      </c>
    </row>
    <row r="16" spans="2:12" ht="16" x14ac:dyDescent="0.2">
      <c r="B16" s="130">
        <v>3</v>
      </c>
      <c r="C16" s="126">
        <v>0.25</v>
      </c>
      <c r="D16" s="126">
        <f>SUM($C$15:C16)</f>
        <v>0.75</v>
      </c>
      <c r="E16" s="126">
        <f>D15</f>
        <v>0.5</v>
      </c>
      <c r="F16" s="131">
        <f t="shared" ref="F16:F18" si="1">B16</f>
        <v>3</v>
      </c>
      <c r="K16" s="51" t="s">
        <v>156</v>
      </c>
      <c r="L16" s="137">
        <v>2</v>
      </c>
    </row>
    <row r="17" spans="2:20" ht="20" customHeight="1" thickBot="1" x14ac:dyDescent="0.25">
      <c r="B17" s="130">
        <v>4</v>
      </c>
      <c r="C17" s="126">
        <v>0.15</v>
      </c>
      <c r="D17" s="126">
        <f>SUM($C$15:C17)</f>
        <v>0.9</v>
      </c>
      <c r="E17" s="126">
        <f>D16</f>
        <v>0.75</v>
      </c>
      <c r="F17" s="131">
        <f t="shared" si="1"/>
        <v>4</v>
      </c>
      <c r="K17" s="52" t="s">
        <v>157</v>
      </c>
      <c r="L17" s="138">
        <v>10</v>
      </c>
    </row>
    <row r="18" spans="2:20" ht="16" thickBot="1" x14ac:dyDescent="0.25">
      <c r="B18" s="132">
        <v>5</v>
      </c>
      <c r="C18" s="133">
        <v>0.1</v>
      </c>
      <c r="D18" s="133">
        <f>SUM($C$15:C18)</f>
        <v>1</v>
      </c>
      <c r="E18" s="133">
        <f>D17</f>
        <v>0.9</v>
      </c>
      <c r="F18" s="134">
        <f t="shared" si="1"/>
        <v>5</v>
      </c>
    </row>
    <row r="19" spans="2:20" ht="16" thickBot="1" x14ac:dyDescent="0.25"/>
    <row r="20" spans="2:20" ht="16" thickBot="1" x14ac:dyDescent="0.25">
      <c r="K20" s="293" t="s">
        <v>86</v>
      </c>
      <c r="L20" s="294"/>
      <c r="N20" s="293" t="s">
        <v>87</v>
      </c>
      <c r="O20" s="294"/>
      <c r="Q20" s="293" t="s">
        <v>88</v>
      </c>
      <c r="R20" s="295"/>
      <c r="S20" s="295"/>
      <c r="T20" s="294"/>
    </row>
    <row r="21" spans="2:20" ht="33" thickBot="1" x14ac:dyDescent="0.25">
      <c r="D21" s="110" t="s">
        <v>4</v>
      </c>
      <c r="E21" s="111" t="s">
        <v>77</v>
      </c>
      <c r="F21" s="111" t="s">
        <v>78</v>
      </c>
      <c r="G21" s="111" t="s">
        <v>79</v>
      </c>
      <c r="H21" s="111" t="s">
        <v>80</v>
      </c>
      <c r="I21" s="112" t="s">
        <v>81</v>
      </c>
      <c r="K21" s="139" t="s">
        <v>89</v>
      </c>
      <c r="L21" s="140" t="s">
        <v>90</v>
      </c>
      <c r="N21" s="139" t="s">
        <v>91</v>
      </c>
      <c r="O21" s="140" t="s">
        <v>92</v>
      </c>
      <c r="Q21" s="113" t="s">
        <v>87</v>
      </c>
      <c r="R21" s="114" t="s">
        <v>93</v>
      </c>
      <c r="S21" s="114" t="s">
        <v>94</v>
      </c>
      <c r="T21" s="115" t="s">
        <v>95</v>
      </c>
    </row>
    <row r="22" spans="2:20" x14ac:dyDescent="0.2">
      <c r="D22" s="128">
        <v>1</v>
      </c>
      <c r="E22" s="127">
        <f>'S4-Random Number Generation'!A1</f>
        <v>2.1444251770826175E-2</v>
      </c>
      <c r="F22" s="127">
        <f>VLOOKUP(E22,$E$6:$F$10,2)</f>
        <v>0</v>
      </c>
      <c r="G22" s="127"/>
      <c r="H22" s="127"/>
      <c r="I22" s="129">
        <v>0</v>
      </c>
      <c r="K22" s="128">
        <f>L15</f>
        <v>10</v>
      </c>
      <c r="L22" s="129">
        <f>K22-I22</f>
        <v>10</v>
      </c>
      <c r="N22" s="128">
        <f>IF((L22)&lt;=$L$16,$L$17,0)</f>
        <v>0</v>
      </c>
      <c r="O22" s="129">
        <v>0</v>
      </c>
      <c r="Q22" s="128">
        <f>IF(N22&lt;&gt;0,$L$10,0)</f>
        <v>0</v>
      </c>
      <c r="R22" s="127">
        <f>IF(L22&gt;=0,L22*$L$11,0)</f>
        <v>100</v>
      </c>
      <c r="S22" s="127">
        <f>IF(L22&lt;0,-L22*$L$12,0)</f>
        <v>0</v>
      </c>
      <c r="T22" s="129">
        <f>SUM(Q22:S22)</f>
        <v>100</v>
      </c>
    </row>
    <row r="23" spans="2:20" x14ac:dyDescent="0.2">
      <c r="D23" s="130">
        <v>2</v>
      </c>
      <c r="E23" s="126">
        <f>'S4-Random Number Generation'!A2</f>
        <v>0.3585828143910425</v>
      </c>
      <c r="F23" s="126">
        <f>VLOOKUP(E23,$E$6:$F$10,2)</f>
        <v>3</v>
      </c>
      <c r="G23" s="126">
        <f>'S4-Random Number Generation'!B1</f>
        <v>0.41353951227550373</v>
      </c>
      <c r="H23" s="126">
        <f>VLOOKUP(G23,$E$15:$F$18,2)</f>
        <v>2</v>
      </c>
      <c r="I23" s="131">
        <f>SUM(H23:H25)</f>
        <v>10</v>
      </c>
      <c r="K23" s="130">
        <f>L22+O23</f>
        <v>10</v>
      </c>
      <c r="L23" s="131">
        <f>K23-I23</f>
        <v>0</v>
      </c>
      <c r="N23" s="130">
        <f>IF((L23)&lt;=$L$16,$L$17,0)</f>
        <v>10</v>
      </c>
      <c r="O23" s="131">
        <f>N22</f>
        <v>0</v>
      </c>
      <c r="Q23" s="130">
        <f t="shared" ref="Q23:Q38" si="2">IF(N23&lt;&gt;0,$L$10,0)</f>
        <v>500</v>
      </c>
      <c r="R23" s="126">
        <f t="shared" ref="R23:R38" si="3">IF(L23&gt;=0,L23*$L$11,0)</f>
        <v>0</v>
      </c>
      <c r="S23" s="126">
        <f t="shared" ref="S23:S38" si="4">IF(L23&lt;0,-L23*$L$12,0)</f>
        <v>0</v>
      </c>
      <c r="T23" s="131">
        <f t="shared" ref="T23:T38" si="5">SUM(Q23:S23)</f>
        <v>500</v>
      </c>
    </row>
    <row r="24" spans="2:20" x14ac:dyDescent="0.2">
      <c r="D24" s="130"/>
      <c r="E24" s="126"/>
      <c r="F24" s="126"/>
      <c r="G24" s="126">
        <f>'S4-Random Number Generation'!B2</f>
        <v>0.70136147025104678</v>
      </c>
      <c r="H24" s="126">
        <f t="shared" ref="H24:H41" si="6">VLOOKUP(G24,$E$15:$F$18,2)</f>
        <v>3</v>
      </c>
      <c r="I24" s="131"/>
      <c r="K24" s="130"/>
      <c r="L24" s="131"/>
      <c r="N24" s="130"/>
      <c r="O24" s="131"/>
      <c r="Q24" s="130">
        <f t="shared" si="2"/>
        <v>0</v>
      </c>
      <c r="R24" s="126">
        <f t="shared" si="3"/>
        <v>0</v>
      </c>
      <c r="S24" s="126">
        <f t="shared" si="4"/>
        <v>0</v>
      </c>
      <c r="T24" s="131">
        <f t="shared" si="5"/>
        <v>0</v>
      </c>
    </row>
    <row r="25" spans="2:20" x14ac:dyDescent="0.2">
      <c r="D25" s="130"/>
      <c r="E25" s="126"/>
      <c r="F25" s="126"/>
      <c r="G25" s="126">
        <f>'S4-Random Number Generation'!B3</f>
        <v>0.94817053896755465</v>
      </c>
      <c r="H25" s="126">
        <f t="shared" si="6"/>
        <v>5</v>
      </c>
      <c r="I25" s="131"/>
      <c r="K25" s="130"/>
      <c r="L25" s="131"/>
      <c r="N25" s="130"/>
      <c r="O25" s="131"/>
      <c r="Q25" s="130">
        <f t="shared" si="2"/>
        <v>0</v>
      </c>
      <c r="R25" s="126">
        <f t="shared" si="3"/>
        <v>0</v>
      </c>
      <c r="S25" s="126">
        <f t="shared" si="4"/>
        <v>0</v>
      </c>
      <c r="T25" s="131">
        <f t="shared" si="5"/>
        <v>0</v>
      </c>
    </row>
    <row r="26" spans="2:20" x14ac:dyDescent="0.2">
      <c r="D26" s="130">
        <v>3</v>
      </c>
      <c r="E26" s="126">
        <f>'S4-Random Number Generation'!A3</f>
        <v>0.78223050934366445</v>
      </c>
      <c r="F26" s="126">
        <f t="shared" ref="F26:F38" si="7">VLOOKUP(E26,$E$6:$F$10,2)</f>
        <v>3</v>
      </c>
      <c r="G26" s="126">
        <f>'S4-Random Number Generation'!B4</f>
        <v>8.9324219193926177E-2</v>
      </c>
      <c r="H26" s="126">
        <f t="shared" si="6"/>
        <v>2</v>
      </c>
      <c r="I26" s="131">
        <f>SUM(H26:H28)</f>
        <v>6</v>
      </c>
      <c r="K26" s="130">
        <f>L23+O26</f>
        <v>10</v>
      </c>
      <c r="L26" s="131">
        <f>K26-I26</f>
        <v>4</v>
      </c>
      <c r="N26" s="130">
        <f t="shared" ref="N26:N38" si="8">IF((L26)&lt;=$L$16,$L$17,0)</f>
        <v>0</v>
      </c>
      <c r="O26" s="131">
        <f>N23</f>
        <v>10</v>
      </c>
      <c r="Q26" s="130">
        <f t="shared" si="2"/>
        <v>0</v>
      </c>
      <c r="R26" s="126">
        <f t="shared" si="3"/>
        <v>40</v>
      </c>
      <c r="S26" s="126">
        <f t="shared" si="4"/>
        <v>0</v>
      </c>
      <c r="T26" s="131">
        <f t="shared" si="5"/>
        <v>40</v>
      </c>
    </row>
    <row r="27" spans="2:20" x14ac:dyDescent="0.2">
      <c r="D27" s="130"/>
      <c r="E27" s="126"/>
      <c r="F27" s="126"/>
      <c r="G27" s="126">
        <f>'S4-Random Number Generation'!B5</f>
        <v>5.853487786768697E-2</v>
      </c>
      <c r="H27" s="126">
        <f t="shared" si="6"/>
        <v>2</v>
      </c>
      <c r="I27" s="131"/>
      <c r="K27" s="130"/>
      <c r="L27" s="131"/>
      <c r="N27" s="130"/>
      <c r="O27" s="131"/>
      <c r="Q27" s="130">
        <f t="shared" si="2"/>
        <v>0</v>
      </c>
      <c r="R27" s="126">
        <f t="shared" si="3"/>
        <v>0</v>
      </c>
      <c r="S27" s="126">
        <f t="shared" si="4"/>
        <v>0</v>
      </c>
      <c r="T27" s="131">
        <f t="shared" si="5"/>
        <v>0</v>
      </c>
    </row>
    <row r="28" spans="2:20" x14ac:dyDescent="0.2">
      <c r="D28" s="130"/>
      <c r="E28" s="126"/>
      <c r="F28" s="126"/>
      <c r="G28" s="126">
        <f>'S4-Random Number Generation'!B6</f>
        <v>0.20085946619550674</v>
      </c>
      <c r="H28" s="126">
        <f t="shared" si="6"/>
        <v>2</v>
      </c>
      <c r="I28" s="131"/>
      <c r="K28" s="130"/>
      <c r="L28" s="131"/>
      <c r="N28" s="130"/>
      <c r="O28" s="131"/>
      <c r="Q28" s="130">
        <f t="shared" si="2"/>
        <v>0</v>
      </c>
      <c r="R28" s="126">
        <f t="shared" si="3"/>
        <v>0</v>
      </c>
      <c r="S28" s="126">
        <f t="shared" si="4"/>
        <v>0</v>
      </c>
      <c r="T28" s="131">
        <f t="shared" si="5"/>
        <v>0</v>
      </c>
    </row>
    <row r="29" spans="2:20" x14ac:dyDescent="0.2">
      <c r="D29" s="130">
        <v>4</v>
      </c>
      <c r="E29" s="126">
        <f>'S4-Random Number Generation'!A4</f>
        <v>0.9022484276919851</v>
      </c>
      <c r="F29" s="126">
        <f t="shared" si="7"/>
        <v>4</v>
      </c>
      <c r="G29" s="126">
        <f>'S4-Random Number Generation'!B7</f>
        <v>0.72758284524436245</v>
      </c>
      <c r="H29" s="126">
        <f t="shared" si="6"/>
        <v>3</v>
      </c>
      <c r="I29" s="131">
        <f>SUM(H29:H32)</f>
        <v>9</v>
      </c>
      <c r="K29" s="130">
        <f>L26+O29</f>
        <v>4</v>
      </c>
      <c r="L29" s="131">
        <f>K29-I29</f>
        <v>-5</v>
      </c>
      <c r="N29" s="130">
        <f t="shared" si="8"/>
        <v>10</v>
      </c>
      <c r="O29" s="131">
        <f>N26</f>
        <v>0</v>
      </c>
      <c r="Q29" s="130">
        <f t="shared" si="2"/>
        <v>500</v>
      </c>
      <c r="R29" s="126">
        <f t="shared" si="3"/>
        <v>0</v>
      </c>
      <c r="S29" s="126">
        <f t="shared" si="4"/>
        <v>100</v>
      </c>
      <c r="T29" s="131">
        <f t="shared" si="5"/>
        <v>600</v>
      </c>
    </row>
    <row r="30" spans="2:20" x14ac:dyDescent="0.2">
      <c r="D30" s="130"/>
      <c r="E30" s="126"/>
      <c r="F30" s="126"/>
      <c r="G30" s="126">
        <f>'S4-Random Number Generation'!B8</f>
        <v>0.37852973834543013</v>
      </c>
      <c r="H30" s="126">
        <f t="shared" si="6"/>
        <v>2</v>
      </c>
      <c r="I30" s="131"/>
      <c r="K30" s="130"/>
      <c r="L30" s="131"/>
      <c r="N30" s="130"/>
      <c r="O30" s="131"/>
      <c r="Q30" s="130">
        <f t="shared" si="2"/>
        <v>0</v>
      </c>
      <c r="R30" s="126">
        <f t="shared" si="3"/>
        <v>0</v>
      </c>
      <c r="S30" s="126">
        <f t="shared" si="4"/>
        <v>0</v>
      </c>
      <c r="T30" s="131">
        <f t="shared" si="5"/>
        <v>0</v>
      </c>
    </row>
    <row r="31" spans="2:20" x14ac:dyDescent="0.2">
      <c r="D31" s="130"/>
      <c r="E31" s="126"/>
      <c r="F31" s="126"/>
      <c r="G31" s="126">
        <f>'S4-Random Number Generation'!B9</f>
        <v>9.3030218543964538E-2</v>
      </c>
      <c r="H31" s="126">
        <f t="shared" si="6"/>
        <v>2</v>
      </c>
      <c r="I31" s="131"/>
      <c r="K31" s="130"/>
      <c r="L31" s="131"/>
      <c r="N31" s="130"/>
      <c r="O31" s="131"/>
      <c r="Q31" s="130">
        <f t="shared" si="2"/>
        <v>0</v>
      </c>
      <c r="R31" s="126">
        <f t="shared" si="3"/>
        <v>0</v>
      </c>
      <c r="S31" s="126">
        <f t="shared" si="4"/>
        <v>0</v>
      </c>
      <c r="T31" s="131">
        <f t="shared" si="5"/>
        <v>0</v>
      </c>
    </row>
    <row r="32" spans="2:20" x14ac:dyDescent="0.2">
      <c r="D32" s="130"/>
      <c r="E32" s="126"/>
      <c r="F32" s="126"/>
      <c r="G32" s="126">
        <f>'S4-Random Number Generation'!B10</f>
        <v>0.14773080085764212</v>
      </c>
      <c r="H32" s="126">
        <f t="shared" si="6"/>
        <v>2</v>
      </c>
      <c r="I32" s="131"/>
      <c r="K32" s="130"/>
      <c r="L32" s="131"/>
      <c r="N32" s="130"/>
      <c r="O32" s="131"/>
      <c r="Q32" s="130">
        <f t="shared" si="2"/>
        <v>0</v>
      </c>
      <c r="R32" s="126">
        <f t="shared" si="3"/>
        <v>0</v>
      </c>
      <c r="S32" s="126">
        <f t="shared" si="4"/>
        <v>0</v>
      </c>
      <c r="T32" s="131">
        <f t="shared" si="5"/>
        <v>0</v>
      </c>
    </row>
    <row r="33" spans="2:20" x14ac:dyDescent="0.2">
      <c r="D33" s="130">
        <v>5</v>
      </c>
      <c r="E33" s="126">
        <f>'S4-Random Number Generation'!A5</f>
        <v>0.27215199231735987</v>
      </c>
      <c r="F33" s="126">
        <f t="shared" si="7"/>
        <v>2</v>
      </c>
      <c r="G33" s="126">
        <f>'S4-Random Number Generation'!B11</f>
        <v>0.75723186775913087</v>
      </c>
      <c r="H33" s="126">
        <f t="shared" si="6"/>
        <v>4</v>
      </c>
      <c r="I33" s="131">
        <f>SUM(H33:H34)</f>
        <v>6</v>
      </c>
      <c r="K33" s="130">
        <f>L29+O33</f>
        <v>5</v>
      </c>
      <c r="L33" s="131">
        <f>K33-I33</f>
        <v>-1</v>
      </c>
      <c r="N33" s="130">
        <f t="shared" si="8"/>
        <v>10</v>
      </c>
      <c r="O33" s="131">
        <f>N29</f>
        <v>10</v>
      </c>
      <c r="Q33" s="130">
        <f t="shared" si="2"/>
        <v>500</v>
      </c>
      <c r="R33" s="126">
        <f t="shared" si="3"/>
        <v>0</v>
      </c>
      <c r="S33" s="126">
        <f t="shared" si="4"/>
        <v>20</v>
      </c>
      <c r="T33" s="131">
        <f t="shared" si="5"/>
        <v>520</v>
      </c>
    </row>
    <row r="34" spans="2:20" x14ac:dyDescent="0.2">
      <c r="D34" s="130"/>
      <c r="E34" s="126"/>
      <c r="F34" s="126"/>
      <c r="G34" s="126">
        <f>'S4-Random Number Generation'!B12</f>
        <v>0.39599555423296778</v>
      </c>
      <c r="H34" s="126">
        <f t="shared" si="6"/>
        <v>2</v>
      </c>
      <c r="I34" s="131"/>
      <c r="K34" s="130"/>
      <c r="L34" s="131"/>
      <c r="N34" s="130"/>
      <c r="O34" s="131"/>
      <c r="Q34" s="130">
        <f t="shared" si="2"/>
        <v>0</v>
      </c>
      <c r="R34" s="126">
        <f t="shared" si="3"/>
        <v>0</v>
      </c>
      <c r="S34" s="126">
        <f t="shared" si="4"/>
        <v>0</v>
      </c>
      <c r="T34" s="131">
        <f t="shared" si="5"/>
        <v>0</v>
      </c>
    </row>
    <row r="35" spans="2:20" x14ac:dyDescent="0.2">
      <c r="D35" s="130">
        <v>6</v>
      </c>
      <c r="E35" s="126">
        <f>'S4-Random Number Generation'!A6</f>
        <v>0.79569232221492203</v>
      </c>
      <c r="F35" s="126">
        <f t="shared" si="7"/>
        <v>3</v>
      </c>
      <c r="G35" s="126">
        <f>'S4-Random Number Generation'!B13</f>
        <v>0.78485058610553415</v>
      </c>
      <c r="H35" s="126">
        <f t="shared" si="6"/>
        <v>4</v>
      </c>
      <c r="I35" s="131">
        <f>SUM(H35:H37)</f>
        <v>9</v>
      </c>
      <c r="K35" s="130">
        <f>L33+O35</f>
        <v>9</v>
      </c>
      <c r="L35" s="131">
        <f>K35-I35</f>
        <v>0</v>
      </c>
      <c r="N35" s="130">
        <f t="shared" si="8"/>
        <v>10</v>
      </c>
      <c r="O35" s="131">
        <f>N33</f>
        <v>10</v>
      </c>
      <c r="Q35" s="130">
        <f t="shared" si="2"/>
        <v>500</v>
      </c>
      <c r="R35" s="126">
        <f t="shared" si="3"/>
        <v>0</v>
      </c>
      <c r="S35" s="126">
        <f t="shared" si="4"/>
        <v>0</v>
      </c>
      <c r="T35" s="131">
        <f t="shared" si="5"/>
        <v>500</v>
      </c>
    </row>
    <row r="36" spans="2:20" x14ac:dyDescent="0.2">
      <c r="D36" s="130"/>
      <c r="E36" s="126"/>
      <c r="F36" s="126"/>
      <c r="G36" s="126">
        <f>'S4-Random Number Generation'!B14</f>
        <v>0.73795669886188431</v>
      </c>
      <c r="H36" s="126">
        <f t="shared" si="6"/>
        <v>3</v>
      </c>
      <c r="I36" s="131"/>
      <c r="K36" s="130"/>
      <c r="L36" s="131"/>
      <c r="N36" s="130"/>
      <c r="O36" s="131"/>
      <c r="Q36" s="130">
        <f t="shared" si="2"/>
        <v>0</v>
      </c>
      <c r="R36" s="126">
        <f t="shared" si="3"/>
        <v>0</v>
      </c>
      <c r="S36" s="126">
        <f t="shared" si="4"/>
        <v>0</v>
      </c>
      <c r="T36" s="131">
        <f t="shared" si="5"/>
        <v>0</v>
      </c>
    </row>
    <row r="37" spans="2:20" x14ac:dyDescent="0.2">
      <c r="D37" s="130"/>
      <c r="E37" s="126"/>
      <c r="F37" s="126"/>
      <c r="G37" s="126">
        <f>'S4-Random Number Generation'!B15</f>
        <v>0.26222877821988833</v>
      </c>
      <c r="H37" s="126">
        <f t="shared" si="6"/>
        <v>2</v>
      </c>
      <c r="I37" s="131"/>
      <c r="K37" s="130"/>
      <c r="L37" s="131"/>
      <c r="N37" s="130"/>
      <c r="O37" s="131"/>
      <c r="Q37" s="130">
        <f t="shared" si="2"/>
        <v>0</v>
      </c>
      <c r="R37" s="126">
        <f t="shared" si="3"/>
        <v>0</v>
      </c>
      <c r="S37" s="126">
        <f t="shared" si="4"/>
        <v>0</v>
      </c>
      <c r="T37" s="131">
        <f t="shared" si="5"/>
        <v>0</v>
      </c>
    </row>
    <row r="38" spans="2:20" x14ac:dyDescent="0.2">
      <c r="D38" s="130">
        <v>7</v>
      </c>
      <c r="E38" s="126">
        <f>'S4-Random Number Generation'!A7</f>
        <v>0.84504834788155203</v>
      </c>
      <c r="F38" s="126">
        <f t="shared" si="7"/>
        <v>4</v>
      </c>
      <c r="G38" s="126">
        <f>'S4-Random Number Generation'!B16</f>
        <v>0.42262873818288965</v>
      </c>
      <c r="H38" s="126">
        <f t="shared" si="6"/>
        <v>2</v>
      </c>
      <c r="I38" s="131">
        <f>SUM(H38:H41)</f>
        <v>9</v>
      </c>
      <c r="K38" s="130">
        <f>L35+O38</f>
        <v>10</v>
      </c>
      <c r="L38" s="131">
        <f>K38-I38</f>
        <v>1</v>
      </c>
      <c r="N38" s="130">
        <f t="shared" si="8"/>
        <v>10</v>
      </c>
      <c r="O38" s="131">
        <f>N35</f>
        <v>10</v>
      </c>
      <c r="Q38" s="130">
        <f t="shared" si="2"/>
        <v>500</v>
      </c>
      <c r="R38" s="126">
        <f t="shared" si="3"/>
        <v>10</v>
      </c>
      <c r="S38" s="126">
        <f t="shared" si="4"/>
        <v>0</v>
      </c>
      <c r="T38" s="131">
        <f t="shared" si="5"/>
        <v>510</v>
      </c>
    </row>
    <row r="39" spans="2:20" x14ac:dyDescent="0.2">
      <c r="D39" s="130"/>
      <c r="E39" s="126"/>
      <c r="F39" s="126"/>
      <c r="G39" s="126">
        <f>'S4-Random Number Generation'!B17</f>
        <v>5.2767558979227934E-2</v>
      </c>
      <c r="H39" s="126">
        <f t="shared" si="6"/>
        <v>2</v>
      </c>
      <c r="I39" s="131"/>
      <c r="K39" s="130"/>
      <c r="L39" s="131"/>
      <c r="N39" s="130"/>
      <c r="O39" s="131"/>
      <c r="Q39" s="130"/>
      <c r="R39" s="126"/>
      <c r="S39" s="126"/>
      <c r="T39" s="131"/>
    </row>
    <row r="40" spans="2:20" x14ac:dyDescent="0.2">
      <c r="D40" s="130"/>
      <c r="E40" s="126"/>
      <c r="F40" s="126"/>
      <c r="G40" s="126">
        <f>'S4-Random Number Generation'!B18</f>
        <v>0.36177959635936635</v>
      </c>
      <c r="H40" s="126">
        <f t="shared" si="6"/>
        <v>2</v>
      </c>
      <c r="I40" s="131"/>
      <c r="K40" s="130"/>
      <c r="L40" s="131"/>
      <c r="N40" s="130"/>
      <c r="O40" s="131"/>
      <c r="Q40" s="130"/>
      <c r="R40" s="126"/>
      <c r="S40" s="126"/>
      <c r="T40" s="131"/>
    </row>
    <row r="41" spans="2:20" ht="16" thickBot="1" x14ac:dyDescent="0.25">
      <c r="D41" s="132"/>
      <c r="E41" s="133"/>
      <c r="F41" s="133"/>
      <c r="G41" s="133">
        <f>'S4-Random Number Generation'!B19</f>
        <v>0.56473150689375196</v>
      </c>
      <c r="H41" s="133">
        <f t="shared" si="6"/>
        <v>3</v>
      </c>
      <c r="I41" s="134"/>
      <c r="K41" s="132"/>
      <c r="L41" s="134"/>
      <c r="N41" s="132"/>
      <c r="O41" s="134"/>
      <c r="Q41" s="132"/>
      <c r="R41" s="133"/>
      <c r="S41" s="133"/>
      <c r="T41" s="134"/>
    </row>
    <row r="44" spans="2:20" ht="16" thickBot="1" x14ac:dyDescent="0.25"/>
    <row r="45" spans="2:20" ht="16" x14ac:dyDescent="0.2">
      <c r="S45" s="135" t="s">
        <v>95</v>
      </c>
      <c r="T45" s="136">
        <f>SUM(T22:T41)</f>
        <v>2770</v>
      </c>
    </row>
    <row r="46" spans="2:20" ht="33" thickBot="1" x14ac:dyDescent="0.25">
      <c r="S46" s="52" t="s">
        <v>96</v>
      </c>
      <c r="T46" s="138">
        <f>T45/7</f>
        <v>395.71428571428572</v>
      </c>
    </row>
    <row r="47" spans="2:20" ht="33" thickBot="1" x14ac:dyDescent="0.25">
      <c r="B47" s="110" t="s">
        <v>159</v>
      </c>
      <c r="C47" s="111" t="s">
        <v>160</v>
      </c>
      <c r="D47" s="112" t="s">
        <v>161</v>
      </c>
    </row>
    <row r="48" spans="2:20" ht="16" thickBot="1" x14ac:dyDescent="0.25">
      <c r="B48" s="143">
        <v>1</v>
      </c>
      <c r="C48" s="73">
        <f>K22</f>
        <v>10</v>
      </c>
      <c r="D48" s="144">
        <v>2</v>
      </c>
    </row>
    <row r="49" spans="2:15" ht="16" x14ac:dyDescent="0.2">
      <c r="B49" s="143">
        <v>2</v>
      </c>
      <c r="C49" s="73">
        <f>L22</f>
        <v>10</v>
      </c>
      <c r="D49" s="144">
        <v>2</v>
      </c>
      <c r="N49" s="135" t="s">
        <v>154</v>
      </c>
      <c r="O49" s="149">
        <f>E76</f>
        <v>1.2857142857142858</v>
      </c>
    </row>
    <row r="50" spans="2:15" ht="16" x14ac:dyDescent="0.2">
      <c r="B50" s="143">
        <v>2</v>
      </c>
      <c r="C50" s="73">
        <f>K23</f>
        <v>10</v>
      </c>
      <c r="D50" s="144">
        <v>2</v>
      </c>
      <c r="N50" s="51" t="s">
        <v>155</v>
      </c>
      <c r="O50" s="150">
        <f>SQRT(2*O49*L10/L11)</f>
        <v>11.338934190276817</v>
      </c>
    </row>
    <row r="51" spans="2:15" ht="17" thickBot="1" x14ac:dyDescent="0.25">
      <c r="B51" s="143">
        <v>3</v>
      </c>
      <c r="C51" s="73">
        <f>L23</f>
        <v>0</v>
      </c>
      <c r="D51" s="144">
        <v>2</v>
      </c>
      <c r="N51" s="52" t="s">
        <v>158</v>
      </c>
      <c r="O51" s="151">
        <f>O50</f>
        <v>11.338934190276817</v>
      </c>
    </row>
    <row r="52" spans="2:15" x14ac:dyDescent="0.2">
      <c r="B52" s="143">
        <v>3</v>
      </c>
      <c r="C52" s="73">
        <f>K26</f>
        <v>10</v>
      </c>
      <c r="D52" s="144">
        <v>2</v>
      </c>
    </row>
    <row r="53" spans="2:15" x14ac:dyDescent="0.2">
      <c r="B53" s="143">
        <v>4</v>
      </c>
      <c r="C53" s="73">
        <f>L26</f>
        <v>4</v>
      </c>
      <c r="D53" s="144">
        <v>2</v>
      </c>
    </row>
    <row r="54" spans="2:15" x14ac:dyDescent="0.2">
      <c r="B54" s="143">
        <v>4</v>
      </c>
      <c r="C54" s="73">
        <f>K29</f>
        <v>4</v>
      </c>
      <c r="D54" s="144">
        <v>2</v>
      </c>
    </row>
    <row r="55" spans="2:15" x14ac:dyDescent="0.2">
      <c r="B55" s="143">
        <v>5</v>
      </c>
      <c r="C55" s="73">
        <f>L29</f>
        <v>-5</v>
      </c>
      <c r="D55" s="144">
        <v>2</v>
      </c>
    </row>
    <row r="56" spans="2:15" x14ac:dyDescent="0.2">
      <c r="B56" s="143">
        <v>5</v>
      </c>
      <c r="C56" s="73">
        <f>K33</f>
        <v>5</v>
      </c>
      <c r="D56" s="144">
        <v>2</v>
      </c>
    </row>
    <row r="57" spans="2:15" x14ac:dyDescent="0.2">
      <c r="B57" s="143">
        <v>6</v>
      </c>
      <c r="C57" s="73">
        <f>L33</f>
        <v>-1</v>
      </c>
      <c r="D57" s="144">
        <v>2</v>
      </c>
    </row>
    <row r="58" spans="2:15" x14ac:dyDescent="0.2">
      <c r="B58" s="143">
        <v>6</v>
      </c>
      <c r="C58" s="73">
        <f>K35</f>
        <v>9</v>
      </c>
      <c r="D58" s="144">
        <v>2</v>
      </c>
    </row>
    <row r="59" spans="2:15" x14ac:dyDescent="0.2">
      <c r="B59" s="143">
        <v>7</v>
      </c>
      <c r="C59" s="73">
        <f>L35</f>
        <v>0</v>
      </c>
      <c r="D59" s="144">
        <v>2</v>
      </c>
    </row>
    <row r="60" spans="2:15" x14ac:dyDescent="0.2">
      <c r="B60" s="143">
        <v>7</v>
      </c>
      <c r="C60" s="73">
        <f>K38</f>
        <v>10</v>
      </c>
      <c r="D60" s="144">
        <v>2</v>
      </c>
    </row>
    <row r="61" spans="2:15" ht="16" thickBot="1" x14ac:dyDescent="0.25">
      <c r="B61" s="145">
        <v>8</v>
      </c>
      <c r="C61" s="76">
        <f>L38</f>
        <v>1</v>
      </c>
      <c r="D61" s="146">
        <v>2</v>
      </c>
    </row>
    <row r="68" spans="2:5" ht="16" thickBot="1" x14ac:dyDescent="0.25"/>
    <row r="69" spans="2:5" ht="33" thickBot="1" x14ac:dyDescent="0.25">
      <c r="B69" s="110" t="s">
        <v>159</v>
      </c>
      <c r="C69" s="111" t="s">
        <v>162</v>
      </c>
      <c r="D69" s="111" t="s">
        <v>163</v>
      </c>
      <c r="E69" s="112" t="s">
        <v>170</v>
      </c>
    </row>
    <row r="70" spans="2:5" x14ac:dyDescent="0.2">
      <c r="B70" s="143">
        <v>1</v>
      </c>
      <c r="C70" s="73">
        <f>I22</f>
        <v>0</v>
      </c>
      <c r="D70" s="73">
        <f>C70</f>
        <v>0</v>
      </c>
      <c r="E70" s="119">
        <f>AVERAGE($D$70:D70)</f>
        <v>0</v>
      </c>
    </row>
    <row r="71" spans="2:5" x14ac:dyDescent="0.2">
      <c r="B71" s="143">
        <v>2</v>
      </c>
      <c r="C71" s="73">
        <f>I23</f>
        <v>10</v>
      </c>
      <c r="D71" s="73">
        <f t="shared" ref="D71:D76" si="9">C71-C70</f>
        <v>10</v>
      </c>
      <c r="E71" s="119">
        <f>AVERAGE($D$70:D71)</f>
        <v>5</v>
      </c>
    </row>
    <row r="72" spans="2:5" x14ac:dyDescent="0.2">
      <c r="B72" s="143">
        <v>3</v>
      </c>
      <c r="C72" s="73">
        <f>I26</f>
        <v>6</v>
      </c>
      <c r="D72" s="73">
        <f t="shared" si="9"/>
        <v>-4</v>
      </c>
      <c r="E72" s="119">
        <f>AVERAGE($D$70:D72)</f>
        <v>2</v>
      </c>
    </row>
    <row r="73" spans="2:5" x14ac:dyDescent="0.2">
      <c r="B73" s="143">
        <v>4</v>
      </c>
      <c r="C73" s="73">
        <f>I29</f>
        <v>9</v>
      </c>
      <c r="D73" s="73">
        <f t="shared" si="9"/>
        <v>3</v>
      </c>
      <c r="E73" s="119">
        <f>AVERAGE($D$70:D73)</f>
        <v>2.25</v>
      </c>
    </row>
    <row r="74" spans="2:5" x14ac:dyDescent="0.2">
      <c r="B74" s="143">
        <v>5</v>
      </c>
      <c r="C74" s="73">
        <f>I33</f>
        <v>6</v>
      </c>
      <c r="D74" s="73">
        <f t="shared" si="9"/>
        <v>-3</v>
      </c>
      <c r="E74" s="119">
        <f>AVERAGE($D$70:D74)</f>
        <v>1.2</v>
      </c>
    </row>
    <row r="75" spans="2:5" x14ac:dyDescent="0.2">
      <c r="B75" s="143">
        <v>6</v>
      </c>
      <c r="C75" s="73">
        <f>I35</f>
        <v>9</v>
      </c>
      <c r="D75" s="73">
        <f t="shared" si="9"/>
        <v>3</v>
      </c>
      <c r="E75" s="119">
        <f>AVERAGE($D$70:D75)</f>
        <v>1.5</v>
      </c>
    </row>
    <row r="76" spans="2:5" ht="16" thickBot="1" x14ac:dyDescent="0.25">
      <c r="B76" s="145">
        <v>7</v>
      </c>
      <c r="C76" s="76">
        <f>I38</f>
        <v>9</v>
      </c>
      <c r="D76" s="76">
        <f t="shared" si="9"/>
        <v>0</v>
      </c>
      <c r="E76" s="121">
        <f>AVERAGE($D$70:D76)</f>
        <v>1.2857142857142858</v>
      </c>
    </row>
    <row r="78" spans="2:5" ht="16" thickBot="1" x14ac:dyDescent="0.25"/>
    <row r="79" spans="2:5" ht="33" thickBot="1" x14ac:dyDescent="0.25">
      <c r="B79" s="110" t="s">
        <v>4</v>
      </c>
      <c r="C79" s="111" t="s">
        <v>82</v>
      </c>
      <c r="D79" s="111" t="s">
        <v>83</v>
      </c>
      <c r="E79" s="112" t="s">
        <v>165</v>
      </c>
    </row>
    <row r="80" spans="2:5" x14ac:dyDescent="0.2">
      <c r="B80" s="143">
        <v>1</v>
      </c>
      <c r="C80" s="73">
        <f t="shared" ref="C80:E81" si="10">Q22</f>
        <v>0</v>
      </c>
      <c r="D80" s="73">
        <f t="shared" si="10"/>
        <v>100</v>
      </c>
      <c r="E80" s="144">
        <f t="shared" si="10"/>
        <v>0</v>
      </c>
    </row>
    <row r="81" spans="2:6" x14ac:dyDescent="0.2">
      <c r="B81" s="143">
        <v>2</v>
      </c>
      <c r="C81" s="73">
        <f t="shared" si="10"/>
        <v>500</v>
      </c>
      <c r="D81" s="73">
        <f t="shared" si="10"/>
        <v>0</v>
      </c>
      <c r="E81" s="144">
        <f t="shared" si="10"/>
        <v>0</v>
      </c>
    </row>
    <row r="82" spans="2:6" x14ac:dyDescent="0.2">
      <c r="B82" s="143">
        <v>3</v>
      </c>
      <c r="C82" s="73">
        <f>Q26</f>
        <v>0</v>
      </c>
      <c r="D82" s="73">
        <f>R26</f>
        <v>40</v>
      </c>
      <c r="E82" s="144">
        <f>S26</f>
        <v>0</v>
      </c>
    </row>
    <row r="83" spans="2:6" x14ac:dyDescent="0.2">
      <c r="B83" s="143">
        <v>4</v>
      </c>
      <c r="C83" s="73">
        <f>Q29</f>
        <v>500</v>
      </c>
      <c r="D83" s="73">
        <f>R29</f>
        <v>0</v>
      </c>
      <c r="E83" s="144">
        <f>S29</f>
        <v>100</v>
      </c>
    </row>
    <row r="84" spans="2:6" x14ac:dyDescent="0.2">
      <c r="B84" s="143">
        <v>5</v>
      </c>
      <c r="C84" s="73">
        <f>Q33</f>
        <v>500</v>
      </c>
      <c r="D84" s="73">
        <f>R33</f>
        <v>0</v>
      </c>
      <c r="E84" s="144">
        <f>S33</f>
        <v>20</v>
      </c>
    </row>
    <row r="85" spans="2:6" x14ac:dyDescent="0.2">
      <c r="B85" s="143">
        <v>6</v>
      </c>
      <c r="C85" s="73">
        <f>Q35</f>
        <v>500</v>
      </c>
      <c r="D85" s="73">
        <f>R35</f>
        <v>0</v>
      </c>
      <c r="E85" s="144">
        <f>S35</f>
        <v>0</v>
      </c>
    </row>
    <row r="86" spans="2:6" ht="16" thickBot="1" x14ac:dyDescent="0.25">
      <c r="B86" s="143">
        <v>7</v>
      </c>
      <c r="C86" s="73">
        <f>Q38</f>
        <v>500</v>
      </c>
      <c r="D86" s="73">
        <f>R38</f>
        <v>10</v>
      </c>
      <c r="E86" s="144">
        <f>S38</f>
        <v>0</v>
      </c>
    </row>
    <row r="87" spans="2:6" ht="17" thickBot="1" x14ac:dyDescent="0.25">
      <c r="B87" s="113" t="s">
        <v>95</v>
      </c>
      <c r="C87" s="114">
        <f>SUM(C80:C86)</f>
        <v>2500</v>
      </c>
      <c r="D87" s="114">
        <f>SUM(D80:D86)</f>
        <v>150</v>
      </c>
      <c r="E87" s="115">
        <f>SUM(E80:E86)</f>
        <v>120</v>
      </c>
    </row>
    <row r="89" spans="2:6" ht="16" thickBot="1" x14ac:dyDescent="0.25"/>
    <row r="90" spans="2:6" ht="33" thickBot="1" x14ac:dyDescent="0.25">
      <c r="B90" s="159" t="s">
        <v>171</v>
      </c>
      <c r="C90" s="111" t="s">
        <v>82</v>
      </c>
      <c r="D90" s="111" t="s">
        <v>83</v>
      </c>
      <c r="E90" s="111" t="s">
        <v>84</v>
      </c>
      <c r="F90" s="112" t="s">
        <v>166</v>
      </c>
    </row>
    <row r="91" spans="2:6" x14ac:dyDescent="0.2">
      <c r="B91" s="225">
        <v>0</v>
      </c>
      <c r="C91" s="226">
        <v>2000</v>
      </c>
      <c r="D91" s="226">
        <v>150</v>
      </c>
      <c r="E91" s="226">
        <v>120</v>
      </c>
      <c r="F91" s="227">
        <f>SUM(C91:E91)</f>
        <v>2270</v>
      </c>
    </row>
    <row r="92" spans="2:6" x14ac:dyDescent="0.2">
      <c r="B92" s="143">
        <v>1</v>
      </c>
      <c r="C92" s="73">
        <v>2500</v>
      </c>
      <c r="D92" s="73">
        <v>150</v>
      </c>
      <c r="E92" s="73">
        <v>120</v>
      </c>
      <c r="F92" s="144">
        <f t="shared" ref="F92:F100" si="11">SUM(C92:E92)</f>
        <v>2770</v>
      </c>
    </row>
    <row r="93" spans="2:6" x14ac:dyDescent="0.2">
      <c r="B93" s="143">
        <v>2</v>
      </c>
      <c r="C93" s="73">
        <v>2500</v>
      </c>
      <c r="D93" s="73">
        <v>150</v>
      </c>
      <c r="E93" s="73">
        <v>120</v>
      </c>
      <c r="F93" s="144">
        <f t="shared" si="11"/>
        <v>2770</v>
      </c>
    </row>
    <row r="94" spans="2:6" x14ac:dyDescent="0.2">
      <c r="B94" s="143">
        <v>3</v>
      </c>
      <c r="C94" s="73">
        <v>2500</v>
      </c>
      <c r="D94" s="73">
        <v>150</v>
      </c>
      <c r="E94" s="73">
        <v>120</v>
      </c>
      <c r="F94" s="144">
        <f t="shared" si="11"/>
        <v>2770</v>
      </c>
    </row>
    <row r="95" spans="2:6" x14ac:dyDescent="0.2">
      <c r="B95" s="143">
        <v>4</v>
      </c>
      <c r="C95" s="73">
        <v>2500</v>
      </c>
      <c r="D95" s="73">
        <v>200</v>
      </c>
      <c r="E95" s="73">
        <v>20</v>
      </c>
      <c r="F95" s="144">
        <f t="shared" si="11"/>
        <v>2720</v>
      </c>
    </row>
    <row r="96" spans="2:6" x14ac:dyDescent="0.2">
      <c r="B96" s="160">
        <v>5</v>
      </c>
      <c r="C96" s="73">
        <v>2500</v>
      </c>
      <c r="D96" s="73">
        <v>290</v>
      </c>
      <c r="E96" s="73">
        <v>0</v>
      </c>
      <c r="F96" s="144">
        <f t="shared" si="11"/>
        <v>2790</v>
      </c>
    </row>
    <row r="97" spans="2:6" x14ac:dyDescent="0.2">
      <c r="B97" s="143">
        <v>6</v>
      </c>
      <c r="C97" s="73">
        <v>2500</v>
      </c>
      <c r="D97" s="73">
        <v>290</v>
      </c>
      <c r="E97" s="73">
        <v>0</v>
      </c>
      <c r="F97" s="144">
        <f t="shared" si="11"/>
        <v>2790</v>
      </c>
    </row>
    <row r="98" spans="2:6" x14ac:dyDescent="0.2">
      <c r="B98" s="143">
        <v>7</v>
      </c>
      <c r="C98" s="73">
        <v>2500</v>
      </c>
      <c r="D98" s="73">
        <v>290</v>
      </c>
      <c r="E98" s="73">
        <v>0</v>
      </c>
      <c r="F98" s="144">
        <f t="shared" si="11"/>
        <v>2790</v>
      </c>
    </row>
    <row r="99" spans="2:6" x14ac:dyDescent="0.2">
      <c r="B99" s="143">
        <v>8</v>
      </c>
      <c r="C99" s="73">
        <v>2500</v>
      </c>
      <c r="D99" s="73">
        <v>290</v>
      </c>
      <c r="E99" s="73">
        <v>0</v>
      </c>
      <c r="F99" s="144">
        <f t="shared" si="11"/>
        <v>2790</v>
      </c>
    </row>
    <row r="100" spans="2:6" ht="16" thickBot="1" x14ac:dyDescent="0.25">
      <c r="B100" s="145">
        <v>9</v>
      </c>
      <c r="C100" s="76">
        <v>2500</v>
      </c>
      <c r="D100" s="76">
        <v>390</v>
      </c>
      <c r="E100" s="76">
        <v>0</v>
      </c>
      <c r="F100" s="146">
        <f t="shared" si="11"/>
        <v>2890</v>
      </c>
    </row>
  </sheetData>
  <mergeCells count="3">
    <mergeCell ref="K20:L20"/>
    <mergeCell ref="N20:O20"/>
    <mergeCell ref="Q20:T20"/>
  </mergeCells>
  <pageMargins left="0.7" right="0.7" top="0.75" bottom="0.75" header="0.3" footer="0.3"/>
  <ignoredErrors>
    <ignoredError sqref="F91:F100" formulaRange="1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D13A-28A7-E04E-AEDA-3C07F6D4F7CF}">
  <sheetPr>
    <tabColor theme="9" tint="0.59999389629810485"/>
  </sheetPr>
  <dimension ref="A1:T104"/>
  <sheetViews>
    <sheetView zoomScale="60" zoomScaleNormal="60" workbookViewId="0">
      <selection activeCell="R57" sqref="R57"/>
    </sheetView>
  </sheetViews>
  <sheetFormatPr baseColWidth="10" defaultRowHeight="15" x14ac:dyDescent="0.2"/>
  <cols>
    <col min="1" max="1" width="10.83203125" style="4"/>
    <col min="2" max="2" width="11.1640625" style="4" bestFit="1" customWidth="1"/>
    <col min="3" max="3" width="12.5" style="4" bestFit="1" customWidth="1"/>
    <col min="4" max="5" width="12" style="4" bestFit="1" customWidth="1"/>
    <col min="6" max="6" width="11" style="4" bestFit="1" customWidth="1"/>
    <col min="7" max="7" width="12" style="4" bestFit="1" customWidth="1"/>
    <col min="8" max="9" width="11" style="4" bestFit="1" customWidth="1"/>
    <col min="10" max="10" width="10.83203125" style="4"/>
    <col min="11" max="11" width="22.1640625" style="4" customWidth="1"/>
    <col min="12" max="12" width="21.1640625" style="4" customWidth="1"/>
    <col min="13" max="13" width="10.83203125" style="4"/>
    <col min="14" max="14" width="23" style="4" customWidth="1"/>
    <col min="15" max="15" width="22.5" style="4" customWidth="1"/>
    <col min="16" max="16" width="10.83203125" style="4"/>
    <col min="17" max="17" width="11" style="4" bestFit="1" customWidth="1"/>
    <col min="18" max="20" width="12" style="4" bestFit="1" customWidth="1"/>
    <col min="21" max="16384" width="10.83203125" style="4"/>
  </cols>
  <sheetData>
    <row r="1" spans="2:12" ht="16" thickBot="1" x14ac:dyDescent="0.25"/>
    <row r="2" spans="2:12" ht="17" thickBot="1" x14ac:dyDescent="0.25">
      <c r="B2" s="142" t="s">
        <v>72</v>
      </c>
      <c r="C2" s="141">
        <v>2740</v>
      </c>
    </row>
    <row r="4" spans="2:12" ht="16" thickBot="1" x14ac:dyDescent="0.25"/>
    <row r="5" spans="2:12" ht="33" thickBot="1" x14ac:dyDescent="0.25">
      <c r="B5" s="110" t="s">
        <v>73</v>
      </c>
      <c r="C5" s="111" t="s">
        <v>74</v>
      </c>
      <c r="D5" s="111" t="s">
        <v>75</v>
      </c>
      <c r="E5" s="111" t="s">
        <v>76</v>
      </c>
      <c r="F5" s="112" t="s">
        <v>73</v>
      </c>
    </row>
    <row r="6" spans="2:12" x14ac:dyDescent="0.2">
      <c r="B6" s="128">
        <v>0</v>
      </c>
      <c r="C6" s="127">
        <v>0.05</v>
      </c>
      <c r="D6" s="127">
        <f>SUM($C$6:C6)</f>
        <v>0.05</v>
      </c>
      <c r="E6" s="127">
        <v>0</v>
      </c>
      <c r="F6" s="129">
        <f>B6</f>
        <v>0</v>
      </c>
    </row>
    <row r="7" spans="2:12" x14ac:dyDescent="0.2">
      <c r="B7" s="130">
        <v>1</v>
      </c>
      <c r="C7" s="126">
        <v>0.1</v>
      </c>
      <c r="D7" s="126">
        <f>SUM($C$6:C7)</f>
        <v>0.15000000000000002</v>
      </c>
      <c r="E7" s="126">
        <f>D6</f>
        <v>0.05</v>
      </c>
      <c r="F7" s="131">
        <f t="shared" ref="F7:F10" si="0">B7</f>
        <v>1</v>
      </c>
    </row>
    <row r="8" spans="2:12" x14ac:dyDescent="0.2">
      <c r="B8" s="130">
        <v>2</v>
      </c>
      <c r="C8" s="126">
        <v>0.2</v>
      </c>
      <c r="D8" s="126">
        <f>SUM($C$6:C8)</f>
        <v>0.35000000000000003</v>
      </c>
      <c r="E8" s="126">
        <f>D7</f>
        <v>0.15000000000000002</v>
      </c>
      <c r="F8" s="131">
        <f t="shared" si="0"/>
        <v>2</v>
      </c>
    </row>
    <row r="9" spans="2:12" ht="16" thickBot="1" x14ac:dyDescent="0.25">
      <c r="B9" s="130">
        <v>3</v>
      </c>
      <c r="C9" s="126">
        <v>0.45</v>
      </c>
      <c r="D9" s="126">
        <f>SUM($C$6:C9)</f>
        <v>0.8</v>
      </c>
      <c r="E9" s="126">
        <f>D8</f>
        <v>0.35000000000000003</v>
      </c>
      <c r="F9" s="131">
        <f t="shared" si="0"/>
        <v>3</v>
      </c>
    </row>
    <row r="10" spans="2:12" ht="20" customHeight="1" thickBot="1" x14ac:dyDescent="0.25">
      <c r="B10" s="132">
        <v>4</v>
      </c>
      <c r="C10" s="133">
        <v>0.2</v>
      </c>
      <c r="D10" s="133">
        <f>SUM($C$6:C10)</f>
        <v>1</v>
      </c>
      <c r="E10" s="133">
        <f>D9</f>
        <v>0.8</v>
      </c>
      <c r="F10" s="134">
        <f t="shared" si="0"/>
        <v>4</v>
      </c>
      <c r="K10" s="135" t="s">
        <v>82</v>
      </c>
      <c r="L10" s="136">
        <v>500</v>
      </c>
    </row>
    <row r="11" spans="2:12" ht="16" x14ac:dyDescent="0.2">
      <c r="K11" s="51" t="s">
        <v>83</v>
      </c>
      <c r="L11" s="137">
        <v>10</v>
      </c>
    </row>
    <row r="12" spans="2:12" ht="17" thickBot="1" x14ac:dyDescent="0.25">
      <c r="K12" s="52" t="s">
        <v>84</v>
      </c>
      <c r="L12" s="138">
        <v>20</v>
      </c>
    </row>
    <row r="13" spans="2:12" ht="16" thickBot="1" x14ac:dyDescent="0.25"/>
    <row r="14" spans="2:12" ht="33" thickBot="1" x14ac:dyDescent="0.25">
      <c r="B14" s="110" t="s">
        <v>73</v>
      </c>
      <c r="C14" s="111" t="s">
        <v>74</v>
      </c>
      <c r="D14" s="111" t="s">
        <v>75</v>
      </c>
      <c r="E14" s="111" t="s">
        <v>76</v>
      </c>
      <c r="F14" s="112" t="s">
        <v>73</v>
      </c>
    </row>
    <row r="15" spans="2:12" ht="16" x14ac:dyDescent="0.2">
      <c r="B15" s="128">
        <v>2</v>
      </c>
      <c r="C15" s="127">
        <v>0.5</v>
      </c>
      <c r="D15" s="127">
        <f>SUM($C$15:C15)</f>
        <v>0.5</v>
      </c>
      <c r="E15" s="127">
        <v>0</v>
      </c>
      <c r="F15" s="129">
        <f>B15</f>
        <v>2</v>
      </c>
      <c r="K15" s="135" t="s">
        <v>85</v>
      </c>
      <c r="L15" s="136">
        <v>10</v>
      </c>
    </row>
    <row r="16" spans="2:12" ht="16" x14ac:dyDescent="0.2">
      <c r="B16" s="130">
        <v>3</v>
      </c>
      <c r="C16" s="126">
        <v>0.25</v>
      </c>
      <c r="D16" s="126">
        <f>SUM($C$15:C16)</f>
        <v>0.75</v>
      </c>
      <c r="E16" s="126">
        <f>D15</f>
        <v>0.5</v>
      </c>
      <c r="F16" s="131">
        <f t="shared" ref="F16:F18" si="1">B16</f>
        <v>3</v>
      </c>
      <c r="K16" s="51" t="s">
        <v>156</v>
      </c>
      <c r="L16" s="137">
        <v>2</v>
      </c>
    </row>
    <row r="17" spans="2:20" ht="20" customHeight="1" thickBot="1" x14ac:dyDescent="0.25">
      <c r="B17" s="130">
        <v>4</v>
      </c>
      <c r="C17" s="126">
        <v>0.15</v>
      </c>
      <c r="D17" s="126">
        <f>SUM($C$15:C17)</f>
        <v>0.9</v>
      </c>
      <c r="E17" s="126">
        <f>D16</f>
        <v>0.75</v>
      </c>
      <c r="F17" s="131">
        <f t="shared" si="1"/>
        <v>4</v>
      </c>
      <c r="K17" s="52" t="s">
        <v>157</v>
      </c>
      <c r="L17" s="151">
        <f>'S4-Inventory Simulation'!O51</f>
        <v>11.338934190276817</v>
      </c>
    </row>
    <row r="18" spans="2:20" ht="16" thickBot="1" x14ac:dyDescent="0.25">
      <c r="B18" s="132">
        <v>5</v>
      </c>
      <c r="C18" s="133">
        <v>0.1</v>
      </c>
      <c r="D18" s="133">
        <f>SUM($C$15:C18)</f>
        <v>1</v>
      </c>
      <c r="E18" s="133">
        <f>D17</f>
        <v>0.9</v>
      </c>
      <c r="F18" s="134">
        <f t="shared" si="1"/>
        <v>5</v>
      </c>
    </row>
    <row r="19" spans="2:20" ht="16" thickBot="1" x14ac:dyDescent="0.25"/>
    <row r="20" spans="2:20" ht="16" thickBot="1" x14ac:dyDescent="0.25">
      <c r="K20" s="293" t="s">
        <v>86</v>
      </c>
      <c r="L20" s="294"/>
      <c r="N20" s="293" t="s">
        <v>87</v>
      </c>
      <c r="O20" s="294"/>
      <c r="Q20" s="293" t="s">
        <v>88</v>
      </c>
      <c r="R20" s="295"/>
      <c r="S20" s="295"/>
      <c r="T20" s="294"/>
    </row>
    <row r="21" spans="2:20" ht="33" thickBot="1" x14ac:dyDescent="0.25">
      <c r="D21" s="110" t="s">
        <v>4</v>
      </c>
      <c r="E21" s="111" t="s">
        <v>77</v>
      </c>
      <c r="F21" s="111" t="s">
        <v>78</v>
      </c>
      <c r="G21" s="111" t="s">
        <v>79</v>
      </c>
      <c r="H21" s="111" t="s">
        <v>80</v>
      </c>
      <c r="I21" s="112" t="s">
        <v>81</v>
      </c>
      <c r="K21" s="139" t="s">
        <v>89</v>
      </c>
      <c r="L21" s="140" t="s">
        <v>90</v>
      </c>
      <c r="N21" s="139" t="s">
        <v>91</v>
      </c>
      <c r="O21" s="140" t="s">
        <v>92</v>
      </c>
      <c r="Q21" s="113" t="s">
        <v>87</v>
      </c>
      <c r="R21" s="114" t="s">
        <v>93</v>
      </c>
      <c r="S21" s="114" t="s">
        <v>94</v>
      </c>
      <c r="T21" s="115" t="s">
        <v>95</v>
      </c>
    </row>
    <row r="22" spans="2:20" x14ac:dyDescent="0.2">
      <c r="D22" s="128">
        <v>1</v>
      </c>
      <c r="E22" s="127">
        <f>'S4-Random Number Generation'!A1</f>
        <v>2.1444251770826175E-2</v>
      </c>
      <c r="F22" s="127">
        <f>VLOOKUP(E22,$E$6:$F$10,2)</f>
        <v>0</v>
      </c>
      <c r="G22" s="127"/>
      <c r="H22" s="127"/>
      <c r="I22" s="129">
        <v>0</v>
      </c>
      <c r="K22" s="156">
        <f>L15</f>
        <v>10</v>
      </c>
      <c r="L22" s="158">
        <f>K22-I22</f>
        <v>10</v>
      </c>
      <c r="N22" s="156">
        <f>IF((L22)&lt;=$L$16,$L$17,0)</f>
        <v>0</v>
      </c>
      <c r="O22" s="158">
        <v>0</v>
      </c>
      <c r="Q22" s="156">
        <f>IF(N22&lt;&gt;0,$L$10,0)</f>
        <v>0</v>
      </c>
      <c r="R22" s="157">
        <f>IF(L22&gt;=0,L22*$L$11,0)</f>
        <v>100</v>
      </c>
      <c r="S22" s="157">
        <f>IF(L22&lt;0,-L22*$L$12,0)</f>
        <v>0</v>
      </c>
      <c r="T22" s="158">
        <f>SUM(Q22:S22)</f>
        <v>100</v>
      </c>
    </row>
    <row r="23" spans="2:20" x14ac:dyDescent="0.2">
      <c r="D23" s="130">
        <v>2</v>
      </c>
      <c r="E23" s="126">
        <f>'S4-Random Number Generation'!A2</f>
        <v>0.3585828143910425</v>
      </c>
      <c r="F23" s="126">
        <f>VLOOKUP(E23,$E$6:$F$10,2)</f>
        <v>3</v>
      </c>
      <c r="G23" s="126">
        <f>'S4-Random Number Generation'!B1</f>
        <v>0.41353951227550373</v>
      </c>
      <c r="H23" s="126">
        <f>VLOOKUP(G23,$E$15:$F$18,2)</f>
        <v>2</v>
      </c>
      <c r="I23" s="131">
        <f>SUM(H23:H25)</f>
        <v>10</v>
      </c>
      <c r="K23" s="152">
        <f>L22+O23</f>
        <v>10</v>
      </c>
      <c r="L23" s="148">
        <f>K23-I23</f>
        <v>0</v>
      </c>
      <c r="N23" s="152">
        <f>IF((L23)&lt;=$L$16,$L$17,0)</f>
        <v>11.338934190276817</v>
      </c>
      <c r="O23" s="148">
        <f>N22</f>
        <v>0</v>
      </c>
      <c r="Q23" s="152">
        <f t="shared" ref="Q23:Q38" si="2">IF(N23&lt;&gt;0,$L$10,0)</f>
        <v>500</v>
      </c>
      <c r="R23" s="147">
        <f t="shared" ref="R23:R38" si="3">IF(L23&gt;=0,L23*$L$11,0)</f>
        <v>0</v>
      </c>
      <c r="S23" s="147">
        <f t="shared" ref="S23:S38" si="4">IF(L23&lt;0,-L23*$L$12,0)</f>
        <v>0</v>
      </c>
      <c r="T23" s="148">
        <f t="shared" ref="T23:T38" si="5">SUM(Q23:S23)</f>
        <v>500</v>
      </c>
    </row>
    <row r="24" spans="2:20" x14ac:dyDescent="0.2">
      <c r="D24" s="130"/>
      <c r="E24" s="126"/>
      <c r="F24" s="126"/>
      <c r="G24" s="126">
        <f>'S4-Random Number Generation'!B2</f>
        <v>0.70136147025104678</v>
      </c>
      <c r="H24" s="126">
        <f t="shared" ref="H24:H41" si="6">VLOOKUP(G24,$E$15:$F$18,2)</f>
        <v>3</v>
      </c>
      <c r="I24" s="131"/>
      <c r="K24" s="152"/>
      <c r="L24" s="148"/>
      <c r="N24" s="152"/>
      <c r="O24" s="148"/>
      <c r="Q24" s="152">
        <f t="shared" si="2"/>
        <v>0</v>
      </c>
      <c r="R24" s="147">
        <f t="shared" si="3"/>
        <v>0</v>
      </c>
      <c r="S24" s="147">
        <f t="shared" si="4"/>
        <v>0</v>
      </c>
      <c r="T24" s="148">
        <f t="shared" si="5"/>
        <v>0</v>
      </c>
    </row>
    <row r="25" spans="2:20" x14ac:dyDescent="0.2">
      <c r="D25" s="130"/>
      <c r="E25" s="126"/>
      <c r="F25" s="126"/>
      <c r="G25" s="126">
        <f>'S4-Random Number Generation'!B3</f>
        <v>0.94817053896755465</v>
      </c>
      <c r="H25" s="126">
        <f t="shared" si="6"/>
        <v>5</v>
      </c>
      <c r="I25" s="131"/>
      <c r="K25" s="152"/>
      <c r="L25" s="148"/>
      <c r="N25" s="152"/>
      <c r="O25" s="148"/>
      <c r="Q25" s="152">
        <f t="shared" si="2"/>
        <v>0</v>
      </c>
      <c r="R25" s="147">
        <f t="shared" si="3"/>
        <v>0</v>
      </c>
      <c r="S25" s="147">
        <f t="shared" si="4"/>
        <v>0</v>
      </c>
      <c r="T25" s="148">
        <f t="shared" si="5"/>
        <v>0</v>
      </c>
    </row>
    <row r="26" spans="2:20" x14ac:dyDescent="0.2">
      <c r="D26" s="130">
        <v>3</v>
      </c>
      <c r="E26" s="126">
        <f>'S4-Random Number Generation'!A3</f>
        <v>0.78223050934366445</v>
      </c>
      <c r="F26" s="126">
        <f t="shared" ref="F26:F38" si="7">VLOOKUP(E26,$E$6:$F$10,2)</f>
        <v>3</v>
      </c>
      <c r="G26" s="126">
        <f>'S4-Random Number Generation'!B4</f>
        <v>8.9324219193926177E-2</v>
      </c>
      <c r="H26" s="126">
        <f t="shared" si="6"/>
        <v>2</v>
      </c>
      <c r="I26" s="131">
        <f>SUM(H26:H28)</f>
        <v>6</v>
      </c>
      <c r="K26" s="152">
        <f>L23+O26</f>
        <v>11.338934190276817</v>
      </c>
      <c r="L26" s="148">
        <f>K26-I26</f>
        <v>5.3389341902768166</v>
      </c>
      <c r="N26" s="152">
        <f t="shared" ref="N26:N38" si="8">IF((L26)&lt;=$L$16,$L$17,0)</f>
        <v>0</v>
      </c>
      <c r="O26" s="148">
        <f>N23</f>
        <v>11.338934190276817</v>
      </c>
      <c r="Q26" s="152">
        <f t="shared" si="2"/>
        <v>0</v>
      </c>
      <c r="R26" s="147">
        <f t="shared" si="3"/>
        <v>53.389341902768166</v>
      </c>
      <c r="S26" s="147">
        <f t="shared" si="4"/>
        <v>0</v>
      </c>
      <c r="T26" s="148">
        <f t="shared" si="5"/>
        <v>53.389341902768166</v>
      </c>
    </row>
    <row r="27" spans="2:20" x14ac:dyDescent="0.2">
      <c r="D27" s="130"/>
      <c r="E27" s="126"/>
      <c r="F27" s="126"/>
      <c r="G27" s="126">
        <f>'S4-Random Number Generation'!B5</f>
        <v>5.853487786768697E-2</v>
      </c>
      <c r="H27" s="126">
        <f t="shared" si="6"/>
        <v>2</v>
      </c>
      <c r="I27" s="131"/>
      <c r="K27" s="152"/>
      <c r="L27" s="148"/>
      <c r="N27" s="152"/>
      <c r="O27" s="148"/>
      <c r="Q27" s="152">
        <f t="shared" si="2"/>
        <v>0</v>
      </c>
      <c r="R27" s="147">
        <f t="shared" si="3"/>
        <v>0</v>
      </c>
      <c r="S27" s="147">
        <f t="shared" si="4"/>
        <v>0</v>
      </c>
      <c r="T27" s="148">
        <f t="shared" si="5"/>
        <v>0</v>
      </c>
    </row>
    <row r="28" spans="2:20" x14ac:dyDescent="0.2">
      <c r="D28" s="130"/>
      <c r="E28" s="126"/>
      <c r="F28" s="126"/>
      <c r="G28" s="126">
        <f>'S4-Random Number Generation'!B6</f>
        <v>0.20085946619550674</v>
      </c>
      <c r="H28" s="126">
        <f t="shared" si="6"/>
        <v>2</v>
      </c>
      <c r="I28" s="131"/>
      <c r="K28" s="152"/>
      <c r="L28" s="148"/>
      <c r="N28" s="152"/>
      <c r="O28" s="148"/>
      <c r="Q28" s="152">
        <f t="shared" si="2"/>
        <v>0</v>
      </c>
      <c r="R28" s="147">
        <f t="shared" si="3"/>
        <v>0</v>
      </c>
      <c r="S28" s="147">
        <f t="shared" si="4"/>
        <v>0</v>
      </c>
      <c r="T28" s="148">
        <f t="shared" si="5"/>
        <v>0</v>
      </c>
    </row>
    <row r="29" spans="2:20" x14ac:dyDescent="0.2">
      <c r="D29" s="130">
        <v>4</v>
      </c>
      <c r="E29" s="126">
        <f>'S4-Random Number Generation'!A4</f>
        <v>0.9022484276919851</v>
      </c>
      <c r="F29" s="126">
        <f t="shared" si="7"/>
        <v>4</v>
      </c>
      <c r="G29" s="126">
        <f>'S4-Random Number Generation'!B7</f>
        <v>0.72758284524436245</v>
      </c>
      <c r="H29" s="126">
        <f t="shared" si="6"/>
        <v>3</v>
      </c>
      <c r="I29" s="131">
        <f>SUM(H29:H32)</f>
        <v>9</v>
      </c>
      <c r="K29" s="152">
        <f>L26+O29</f>
        <v>5.3389341902768166</v>
      </c>
      <c r="L29" s="148">
        <f>K29-I29</f>
        <v>-3.6610658097231834</v>
      </c>
      <c r="N29" s="152">
        <f t="shared" si="8"/>
        <v>11.338934190276817</v>
      </c>
      <c r="O29" s="148">
        <f>N26</f>
        <v>0</v>
      </c>
      <c r="Q29" s="152">
        <f t="shared" si="2"/>
        <v>500</v>
      </c>
      <c r="R29" s="147">
        <f t="shared" si="3"/>
        <v>0</v>
      </c>
      <c r="S29" s="147">
        <f t="shared" si="4"/>
        <v>73.221316194463668</v>
      </c>
      <c r="T29" s="148">
        <f t="shared" si="5"/>
        <v>573.22131619446372</v>
      </c>
    </row>
    <row r="30" spans="2:20" x14ac:dyDescent="0.2">
      <c r="D30" s="130"/>
      <c r="E30" s="126"/>
      <c r="F30" s="126"/>
      <c r="G30" s="126">
        <f>'S4-Random Number Generation'!B8</f>
        <v>0.37852973834543013</v>
      </c>
      <c r="H30" s="126">
        <f t="shared" si="6"/>
        <v>2</v>
      </c>
      <c r="I30" s="131"/>
      <c r="K30" s="152"/>
      <c r="L30" s="148"/>
      <c r="N30" s="152"/>
      <c r="O30" s="148"/>
      <c r="Q30" s="152">
        <f t="shared" si="2"/>
        <v>0</v>
      </c>
      <c r="R30" s="147">
        <f t="shared" si="3"/>
        <v>0</v>
      </c>
      <c r="S30" s="147">
        <f t="shared" si="4"/>
        <v>0</v>
      </c>
      <c r="T30" s="148">
        <f t="shared" si="5"/>
        <v>0</v>
      </c>
    </row>
    <row r="31" spans="2:20" x14ac:dyDescent="0.2">
      <c r="D31" s="130"/>
      <c r="E31" s="126"/>
      <c r="F31" s="126"/>
      <c r="G31" s="126">
        <f>'S4-Random Number Generation'!B9</f>
        <v>9.3030218543964538E-2</v>
      </c>
      <c r="H31" s="126">
        <f t="shared" si="6"/>
        <v>2</v>
      </c>
      <c r="I31" s="131"/>
      <c r="K31" s="152"/>
      <c r="L31" s="148"/>
      <c r="N31" s="152"/>
      <c r="O31" s="148"/>
      <c r="Q31" s="152">
        <f t="shared" si="2"/>
        <v>0</v>
      </c>
      <c r="R31" s="147">
        <f t="shared" si="3"/>
        <v>0</v>
      </c>
      <c r="S31" s="147">
        <f t="shared" si="4"/>
        <v>0</v>
      </c>
      <c r="T31" s="148">
        <f t="shared" si="5"/>
        <v>0</v>
      </c>
    </row>
    <row r="32" spans="2:20" x14ac:dyDescent="0.2">
      <c r="D32" s="130"/>
      <c r="E32" s="126"/>
      <c r="F32" s="126"/>
      <c r="G32" s="126">
        <f>'S4-Random Number Generation'!B10</f>
        <v>0.14773080085764212</v>
      </c>
      <c r="H32" s="126">
        <f t="shared" si="6"/>
        <v>2</v>
      </c>
      <c r="I32" s="131"/>
      <c r="K32" s="152"/>
      <c r="L32" s="148"/>
      <c r="N32" s="152"/>
      <c r="O32" s="148"/>
      <c r="Q32" s="152">
        <f t="shared" si="2"/>
        <v>0</v>
      </c>
      <c r="R32" s="147">
        <f t="shared" si="3"/>
        <v>0</v>
      </c>
      <c r="S32" s="147">
        <f t="shared" si="4"/>
        <v>0</v>
      </c>
      <c r="T32" s="148">
        <f t="shared" si="5"/>
        <v>0</v>
      </c>
    </row>
    <row r="33" spans="2:20" x14ac:dyDescent="0.2">
      <c r="D33" s="130">
        <v>5</v>
      </c>
      <c r="E33" s="126">
        <f>'S4-Random Number Generation'!A5</f>
        <v>0.27215199231735987</v>
      </c>
      <c r="F33" s="126">
        <f t="shared" si="7"/>
        <v>2</v>
      </c>
      <c r="G33" s="126">
        <f>'S4-Random Number Generation'!B11</f>
        <v>0.75723186775913087</v>
      </c>
      <c r="H33" s="126">
        <f t="shared" si="6"/>
        <v>4</v>
      </c>
      <c r="I33" s="131">
        <f>SUM(H33:H34)</f>
        <v>6</v>
      </c>
      <c r="K33" s="152">
        <f>L29+O33</f>
        <v>7.6778683805536332</v>
      </c>
      <c r="L33" s="148">
        <f>K33-I33</f>
        <v>1.6778683805536332</v>
      </c>
      <c r="N33" s="152">
        <f t="shared" si="8"/>
        <v>11.338934190276817</v>
      </c>
      <c r="O33" s="148">
        <f>N29</f>
        <v>11.338934190276817</v>
      </c>
      <c r="Q33" s="152">
        <f t="shared" si="2"/>
        <v>500</v>
      </c>
      <c r="R33" s="147">
        <f t="shared" si="3"/>
        <v>16.778683805536332</v>
      </c>
      <c r="S33" s="147">
        <f t="shared" si="4"/>
        <v>0</v>
      </c>
      <c r="T33" s="148">
        <f t="shared" si="5"/>
        <v>516.77868380553628</v>
      </c>
    </row>
    <row r="34" spans="2:20" x14ac:dyDescent="0.2">
      <c r="D34" s="130"/>
      <c r="E34" s="126"/>
      <c r="F34" s="126"/>
      <c r="G34" s="126">
        <f>'S4-Random Number Generation'!B12</f>
        <v>0.39599555423296778</v>
      </c>
      <c r="H34" s="126">
        <f t="shared" si="6"/>
        <v>2</v>
      </c>
      <c r="I34" s="131"/>
      <c r="K34" s="152"/>
      <c r="L34" s="148"/>
      <c r="N34" s="152"/>
      <c r="O34" s="148"/>
      <c r="Q34" s="152">
        <f t="shared" si="2"/>
        <v>0</v>
      </c>
      <c r="R34" s="147">
        <f t="shared" si="3"/>
        <v>0</v>
      </c>
      <c r="S34" s="147">
        <f t="shared" si="4"/>
        <v>0</v>
      </c>
      <c r="T34" s="148">
        <f t="shared" si="5"/>
        <v>0</v>
      </c>
    </row>
    <row r="35" spans="2:20" x14ac:dyDescent="0.2">
      <c r="D35" s="130">
        <v>6</v>
      </c>
      <c r="E35" s="126">
        <f>'S4-Random Number Generation'!A6</f>
        <v>0.79569232221492203</v>
      </c>
      <c r="F35" s="126">
        <f t="shared" si="7"/>
        <v>3</v>
      </c>
      <c r="G35" s="126">
        <f>'S4-Random Number Generation'!B13</f>
        <v>0.78485058610553415</v>
      </c>
      <c r="H35" s="126">
        <f t="shared" si="6"/>
        <v>4</v>
      </c>
      <c r="I35" s="131">
        <f>SUM(H35:H37)</f>
        <v>9</v>
      </c>
      <c r="K35" s="152">
        <f>L33+O35</f>
        <v>13.01680257083045</v>
      </c>
      <c r="L35" s="148">
        <f>K35-I35</f>
        <v>4.0168025708304498</v>
      </c>
      <c r="N35" s="152">
        <f t="shared" si="8"/>
        <v>0</v>
      </c>
      <c r="O35" s="148">
        <f>N33</f>
        <v>11.338934190276817</v>
      </c>
      <c r="Q35" s="152">
        <f t="shared" si="2"/>
        <v>0</v>
      </c>
      <c r="R35" s="147">
        <f t="shared" si="3"/>
        <v>40.168025708304498</v>
      </c>
      <c r="S35" s="147">
        <f t="shared" si="4"/>
        <v>0</v>
      </c>
      <c r="T35" s="148">
        <f t="shared" si="5"/>
        <v>40.168025708304498</v>
      </c>
    </row>
    <row r="36" spans="2:20" x14ac:dyDescent="0.2">
      <c r="D36" s="130"/>
      <c r="E36" s="126"/>
      <c r="F36" s="126"/>
      <c r="G36" s="126">
        <f>'S4-Random Number Generation'!B14</f>
        <v>0.73795669886188431</v>
      </c>
      <c r="H36" s="126">
        <f t="shared" si="6"/>
        <v>3</v>
      </c>
      <c r="I36" s="131"/>
      <c r="K36" s="152"/>
      <c r="L36" s="148"/>
      <c r="N36" s="152"/>
      <c r="O36" s="148"/>
      <c r="Q36" s="152">
        <f t="shared" si="2"/>
        <v>0</v>
      </c>
      <c r="R36" s="147">
        <f t="shared" si="3"/>
        <v>0</v>
      </c>
      <c r="S36" s="147">
        <f t="shared" si="4"/>
        <v>0</v>
      </c>
      <c r="T36" s="148">
        <f t="shared" si="5"/>
        <v>0</v>
      </c>
    </row>
    <row r="37" spans="2:20" x14ac:dyDescent="0.2">
      <c r="D37" s="130"/>
      <c r="E37" s="126"/>
      <c r="F37" s="126"/>
      <c r="G37" s="126">
        <f>'S4-Random Number Generation'!B15</f>
        <v>0.26222877821988833</v>
      </c>
      <c r="H37" s="126">
        <f t="shared" si="6"/>
        <v>2</v>
      </c>
      <c r="I37" s="131"/>
      <c r="K37" s="152"/>
      <c r="L37" s="148"/>
      <c r="N37" s="152"/>
      <c r="O37" s="148"/>
      <c r="Q37" s="152">
        <f t="shared" si="2"/>
        <v>0</v>
      </c>
      <c r="R37" s="147">
        <f t="shared" si="3"/>
        <v>0</v>
      </c>
      <c r="S37" s="147">
        <f t="shared" si="4"/>
        <v>0</v>
      </c>
      <c r="T37" s="148">
        <f t="shared" si="5"/>
        <v>0</v>
      </c>
    </row>
    <row r="38" spans="2:20" x14ac:dyDescent="0.2">
      <c r="D38" s="130">
        <v>7</v>
      </c>
      <c r="E38" s="126">
        <f>'S4-Random Number Generation'!A7</f>
        <v>0.84504834788155203</v>
      </c>
      <c r="F38" s="126">
        <f t="shared" si="7"/>
        <v>4</v>
      </c>
      <c r="G38" s="126">
        <f>'S4-Random Number Generation'!B16</f>
        <v>0.42262873818288965</v>
      </c>
      <c r="H38" s="126">
        <f t="shared" si="6"/>
        <v>2</v>
      </c>
      <c r="I38" s="131">
        <f>SUM(H38:H41)</f>
        <v>9</v>
      </c>
      <c r="K38" s="152">
        <f>L35+O38</f>
        <v>4.0168025708304498</v>
      </c>
      <c r="L38" s="148">
        <f>K38-I38</f>
        <v>-4.9831974291695502</v>
      </c>
      <c r="N38" s="152">
        <f t="shared" si="8"/>
        <v>11.338934190276817</v>
      </c>
      <c r="O38" s="148">
        <f>N35</f>
        <v>0</v>
      </c>
      <c r="Q38" s="152">
        <f t="shared" si="2"/>
        <v>500</v>
      </c>
      <c r="R38" s="147">
        <f t="shared" si="3"/>
        <v>0</v>
      </c>
      <c r="S38" s="147">
        <f t="shared" si="4"/>
        <v>99.663948583391004</v>
      </c>
      <c r="T38" s="148">
        <f t="shared" si="5"/>
        <v>599.66394858339095</v>
      </c>
    </row>
    <row r="39" spans="2:20" x14ac:dyDescent="0.2">
      <c r="D39" s="130"/>
      <c r="E39" s="126"/>
      <c r="F39" s="126"/>
      <c r="G39" s="126">
        <f>'S4-Random Number Generation'!B17</f>
        <v>5.2767558979227934E-2</v>
      </c>
      <c r="H39" s="126">
        <f t="shared" si="6"/>
        <v>2</v>
      </c>
      <c r="I39" s="131"/>
      <c r="K39" s="130"/>
      <c r="L39" s="131"/>
      <c r="N39" s="130"/>
      <c r="O39" s="131"/>
      <c r="Q39" s="130"/>
      <c r="R39" s="126"/>
      <c r="S39" s="126"/>
      <c r="T39" s="131"/>
    </row>
    <row r="40" spans="2:20" x14ac:dyDescent="0.2">
      <c r="D40" s="130"/>
      <c r="E40" s="126"/>
      <c r="F40" s="126"/>
      <c r="G40" s="126">
        <f>'S4-Random Number Generation'!B18</f>
        <v>0.36177959635936635</v>
      </c>
      <c r="H40" s="126">
        <f t="shared" si="6"/>
        <v>2</v>
      </c>
      <c r="I40" s="131"/>
      <c r="K40" s="130"/>
      <c r="L40" s="131"/>
      <c r="N40" s="130"/>
      <c r="O40" s="131"/>
      <c r="Q40" s="130"/>
      <c r="R40" s="126"/>
      <c r="S40" s="126"/>
      <c r="T40" s="131"/>
    </row>
    <row r="41" spans="2:20" ht="16" thickBot="1" x14ac:dyDescent="0.25">
      <c r="D41" s="132"/>
      <c r="E41" s="133"/>
      <c r="F41" s="133"/>
      <c r="G41" s="133">
        <f>'S4-Random Number Generation'!B19</f>
        <v>0.56473150689375196</v>
      </c>
      <c r="H41" s="133">
        <f t="shared" si="6"/>
        <v>3</v>
      </c>
      <c r="I41" s="134"/>
      <c r="K41" s="132"/>
      <c r="L41" s="134"/>
      <c r="N41" s="132"/>
      <c r="O41" s="134"/>
      <c r="Q41" s="132"/>
      <c r="R41" s="133"/>
      <c r="S41" s="133"/>
      <c r="T41" s="134"/>
    </row>
    <row r="44" spans="2:20" ht="16" thickBot="1" x14ac:dyDescent="0.25"/>
    <row r="45" spans="2:20" ht="16" x14ac:dyDescent="0.2">
      <c r="S45" s="135" t="s">
        <v>95</v>
      </c>
      <c r="T45" s="136">
        <f>SUM(T22:T41)</f>
        <v>2383.2213161944637</v>
      </c>
    </row>
    <row r="46" spans="2:20" ht="33" thickBot="1" x14ac:dyDescent="0.25">
      <c r="S46" s="52" t="s">
        <v>96</v>
      </c>
      <c r="T46" s="138">
        <f>T45/7</f>
        <v>340.46018802778053</v>
      </c>
    </row>
    <row r="47" spans="2:20" ht="33" thickBot="1" x14ac:dyDescent="0.25">
      <c r="B47" s="110" t="s">
        <v>159</v>
      </c>
      <c r="C47" s="111" t="s">
        <v>160</v>
      </c>
      <c r="D47" s="112" t="s">
        <v>161</v>
      </c>
    </row>
    <row r="48" spans="2:20" ht="16" thickBot="1" x14ac:dyDescent="0.25">
      <c r="B48" s="143">
        <v>1</v>
      </c>
      <c r="C48" s="73">
        <f>K22</f>
        <v>10</v>
      </c>
      <c r="D48" s="144">
        <v>2</v>
      </c>
    </row>
    <row r="49" spans="2:15" ht="16" x14ac:dyDescent="0.2">
      <c r="B49" s="143">
        <v>2</v>
      </c>
      <c r="C49" s="73">
        <f>L22</f>
        <v>10</v>
      </c>
      <c r="D49" s="144">
        <v>2</v>
      </c>
      <c r="N49" s="135" t="s">
        <v>154</v>
      </c>
      <c r="O49" s="149">
        <f>E76</f>
        <v>1.2857142857142858</v>
      </c>
    </row>
    <row r="50" spans="2:15" ht="16" x14ac:dyDescent="0.2">
      <c r="B50" s="143">
        <v>2</v>
      </c>
      <c r="C50" s="73">
        <f>K23</f>
        <v>10</v>
      </c>
      <c r="D50" s="144">
        <v>2</v>
      </c>
      <c r="N50" s="51" t="s">
        <v>155</v>
      </c>
      <c r="O50" s="150">
        <f>SQRT(2*O49*L10/L11)</f>
        <v>11.338934190276817</v>
      </c>
    </row>
    <row r="51" spans="2:15" ht="17" thickBot="1" x14ac:dyDescent="0.25">
      <c r="B51" s="143">
        <v>3</v>
      </c>
      <c r="C51" s="73">
        <f>L23</f>
        <v>0</v>
      </c>
      <c r="D51" s="144">
        <v>2</v>
      </c>
      <c r="N51" s="52" t="s">
        <v>158</v>
      </c>
      <c r="O51" s="151">
        <f>O50</f>
        <v>11.338934190276817</v>
      </c>
    </row>
    <row r="52" spans="2:15" x14ac:dyDescent="0.2">
      <c r="B52" s="143">
        <v>3</v>
      </c>
      <c r="C52" s="73">
        <f>K26</f>
        <v>11.338934190276817</v>
      </c>
      <c r="D52" s="144">
        <v>2</v>
      </c>
    </row>
    <row r="53" spans="2:15" x14ac:dyDescent="0.2">
      <c r="B53" s="143">
        <v>4</v>
      </c>
      <c r="C53" s="73">
        <f>L26</f>
        <v>5.3389341902768166</v>
      </c>
      <c r="D53" s="144">
        <v>2</v>
      </c>
    </row>
    <row r="54" spans="2:15" x14ac:dyDescent="0.2">
      <c r="B54" s="143">
        <v>4</v>
      </c>
      <c r="C54" s="73">
        <f>K29</f>
        <v>5.3389341902768166</v>
      </c>
      <c r="D54" s="144">
        <v>2</v>
      </c>
    </row>
    <row r="55" spans="2:15" x14ac:dyDescent="0.2">
      <c r="B55" s="143">
        <v>5</v>
      </c>
      <c r="C55" s="73">
        <f>L29</f>
        <v>-3.6610658097231834</v>
      </c>
      <c r="D55" s="144">
        <v>2</v>
      </c>
    </row>
    <row r="56" spans="2:15" x14ac:dyDescent="0.2">
      <c r="B56" s="143">
        <v>5</v>
      </c>
      <c r="C56" s="73">
        <f>K33</f>
        <v>7.6778683805536332</v>
      </c>
      <c r="D56" s="144">
        <v>2</v>
      </c>
    </row>
    <row r="57" spans="2:15" x14ac:dyDescent="0.2">
      <c r="B57" s="143">
        <v>6</v>
      </c>
      <c r="C57" s="73">
        <f>L33</f>
        <v>1.6778683805536332</v>
      </c>
      <c r="D57" s="144">
        <v>2</v>
      </c>
    </row>
    <row r="58" spans="2:15" x14ac:dyDescent="0.2">
      <c r="B58" s="143">
        <v>6</v>
      </c>
      <c r="C58" s="73">
        <f>K35</f>
        <v>13.01680257083045</v>
      </c>
      <c r="D58" s="144">
        <v>2</v>
      </c>
    </row>
    <row r="59" spans="2:15" x14ac:dyDescent="0.2">
      <c r="B59" s="143">
        <v>7</v>
      </c>
      <c r="C59" s="73">
        <f>L35</f>
        <v>4.0168025708304498</v>
      </c>
      <c r="D59" s="144">
        <v>2</v>
      </c>
    </row>
    <row r="60" spans="2:15" x14ac:dyDescent="0.2">
      <c r="B60" s="143">
        <v>7</v>
      </c>
      <c r="C60" s="73">
        <f>K38</f>
        <v>4.0168025708304498</v>
      </c>
      <c r="D60" s="144">
        <v>2</v>
      </c>
    </row>
    <row r="61" spans="2:15" ht="16" thickBot="1" x14ac:dyDescent="0.25">
      <c r="B61" s="145">
        <v>8</v>
      </c>
      <c r="C61" s="76">
        <f>L38</f>
        <v>-4.9831974291695502</v>
      </c>
      <c r="D61" s="146">
        <v>2</v>
      </c>
    </row>
    <row r="68" spans="2:5" ht="16" thickBot="1" x14ac:dyDescent="0.25"/>
    <row r="69" spans="2:5" ht="33" thickBot="1" x14ac:dyDescent="0.25">
      <c r="B69" s="110" t="s">
        <v>159</v>
      </c>
      <c r="C69" s="111" t="s">
        <v>162</v>
      </c>
      <c r="D69" s="111" t="s">
        <v>163</v>
      </c>
      <c r="E69" s="112" t="s">
        <v>164</v>
      </c>
    </row>
    <row r="70" spans="2:5" x14ac:dyDescent="0.2">
      <c r="B70" s="143">
        <v>1</v>
      </c>
      <c r="C70" s="73">
        <f>I22</f>
        <v>0</v>
      </c>
      <c r="D70" s="73">
        <f>C70</f>
        <v>0</v>
      </c>
      <c r="E70" s="119">
        <f>AVERAGE($D$70:D70)</f>
        <v>0</v>
      </c>
    </row>
    <row r="71" spans="2:5" x14ac:dyDescent="0.2">
      <c r="B71" s="143">
        <v>2</v>
      </c>
      <c r="C71" s="73">
        <f>I23</f>
        <v>10</v>
      </c>
      <c r="D71" s="73">
        <f t="shared" ref="D71:D76" si="9">C71-C70</f>
        <v>10</v>
      </c>
      <c r="E71" s="119">
        <f>AVERAGE($D$70:D71)</f>
        <v>5</v>
      </c>
    </row>
    <row r="72" spans="2:5" x14ac:dyDescent="0.2">
      <c r="B72" s="143">
        <v>3</v>
      </c>
      <c r="C72" s="73">
        <f>I26</f>
        <v>6</v>
      </c>
      <c r="D72" s="73">
        <f t="shared" si="9"/>
        <v>-4</v>
      </c>
      <c r="E72" s="119">
        <f>AVERAGE($D$70:D72)</f>
        <v>2</v>
      </c>
    </row>
    <row r="73" spans="2:5" x14ac:dyDescent="0.2">
      <c r="B73" s="143">
        <v>4</v>
      </c>
      <c r="C73" s="73">
        <f>I29</f>
        <v>9</v>
      </c>
      <c r="D73" s="73">
        <f t="shared" si="9"/>
        <v>3</v>
      </c>
      <c r="E73" s="119">
        <f>AVERAGE($D$70:D73)</f>
        <v>2.25</v>
      </c>
    </row>
    <row r="74" spans="2:5" x14ac:dyDescent="0.2">
      <c r="B74" s="143">
        <v>5</v>
      </c>
      <c r="C74" s="73">
        <f>I33</f>
        <v>6</v>
      </c>
      <c r="D74" s="73">
        <f t="shared" si="9"/>
        <v>-3</v>
      </c>
      <c r="E74" s="119">
        <f>AVERAGE($D$70:D74)</f>
        <v>1.2</v>
      </c>
    </row>
    <row r="75" spans="2:5" x14ac:dyDescent="0.2">
      <c r="B75" s="143">
        <v>6</v>
      </c>
      <c r="C75" s="73">
        <f>I35</f>
        <v>9</v>
      </c>
      <c r="D75" s="73">
        <f t="shared" si="9"/>
        <v>3</v>
      </c>
      <c r="E75" s="119">
        <f>AVERAGE($D$70:D75)</f>
        <v>1.5</v>
      </c>
    </row>
    <row r="76" spans="2:5" ht="16" thickBot="1" x14ac:dyDescent="0.25">
      <c r="B76" s="145">
        <v>7</v>
      </c>
      <c r="C76" s="76">
        <f>I38</f>
        <v>9</v>
      </c>
      <c r="D76" s="76">
        <f t="shared" si="9"/>
        <v>0</v>
      </c>
      <c r="E76" s="121">
        <f>AVERAGE($D$70:D76)</f>
        <v>1.2857142857142858</v>
      </c>
    </row>
    <row r="78" spans="2:5" ht="16" thickBot="1" x14ac:dyDescent="0.25"/>
    <row r="79" spans="2:5" ht="33" thickBot="1" x14ac:dyDescent="0.25">
      <c r="B79" s="110" t="s">
        <v>4</v>
      </c>
      <c r="C79" s="111" t="s">
        <v>82</v>
      </c>
      <c r="D79" s="111" t="s">
        <v>83</v>
      </c>
      <c r="E79" s="112" t="s">
        <v>84</v>
      </c>
    </row>
    <row r="80" spans="2:5" x14ac:dyDescent="0.2">
      <c r="B80" s="143">
        <v>1</v>
      </c>
      <c r="C80" s="93">
        <f t="shared" ref="C80:E81" si="10">Q22</f>
        <v>0</v>
      </c>
      <c r="D80" s="93">
        <f t="shared" si="10"/>
        <v>100</v>
      </c>
      <c r="E80" s="155">
        <f t="shared" si="10"/>
        <v>0</v>
      </c>
    </row>
    <row r="81" spans="2:6" x14ac:dyDescent="0.2">
      <c r="B81" s="143">
        <v>2</v>
      </c>
      <c r="C81" s="93">
        <f t="shared" si="10"/>
        <v>500</v>
      </c>
      <c r="D81" s="93">
        <f t="shared" si="10"/>
        <v>0</v>
      </c>
      <c r="E81" s="155">
        <f t="shared" si="10"/>
        <v>0</v>
      </c>
    </row>
    <row r="82" spans="2:6" x14ac:dyDescent="0.2">
      <c r="B82" s="143">
        <v>3</v>
      </c>
      <c r="C82" s="93">
        <f>Q26</f>
        <v>0</v>
      </c>
      <c r="D82" s="93">
        <f>R26</f>
        <v>53.389341902768166</v>
      </c>
      <c r="E82" s="155">
        <f>S26</f>
        <v>0</v>
      </c>
    </row>
    <row r="83" spans="2:6" x14ac:dyDescent="0.2">
      <c r="B83" s="143">
        <v>4</v>
      </c>
      <c r="C83" s="93">
        <f>Q29</f>
        <v>500</v>
      </c>
      <c r="D83" s="93">
        <f>R29</f>
        <v>0</v>
      </c>
      <c r="E83" s="155">
        <f>S29</f>
        <v>73.221316194463668</v>
      </c>
    </row>
    <row r="84" spans="2:6" x14ac:dyDescent="0.2">
      <c r="B84" s="143">
        <v>5</v>
      </c>
      <c r="C84" s="93">
        <f>Q33</f>
        <v>500</v>
      </c>
      <c r="D84" s="93">
        <f>R33</f>
        <v>16.778683805536332</v>
      </c>
      <c r="E84" s="155">
        <f>S33</f>
        <v>0</v>
      </c>
    </row>
    <row r="85" spans="2:6" x14ac:dyDescent="0.2">
      <c r="B85" s="143">
        <v>6</v>
      </c>
      <c r="C85" s="93">
        <f>Q35</f>
        <v>0</v>
      </c>
      <c r="D85" s="93">
        <f>R35</f>
        <v>40.168025708304498</v>
      </c>
      <c r="E85" s="155">
        <f>S35</f>
        <v>0</v>
      </c>
    </row>
    <row r="86" spans="2:6" ht="16" thickBot="1" x14ac:dyDescent="0.25">
      <c r="B86" s="143">
        <v>7</v>
      </c>
      <c r="C86" s="93">
        <f>Q38</f>
        <v>500</v>
      </c>
      <c r="D86" s="93">
        <f>R38</f>
        <v>0</v>
      </c>
      <c r="E86" s="155">
        <f>S38</f>
        <v>99.663948583391004</v>
      </c>
    </row>
    <row r="87" spans="2:6" ht="17" thickBot="1" x14ac:dyDescent="0.25">
      <c r="B87" s="113" t="s">
        <v>95</v>
      </c>
      <c r="C87" s="153">
        <f>SUM(C80:C86)</f>
        <v>2000</v>
      </c>
      <c r="D87" s="153">
        <f>SUM(D80:D86)</f>
        <v>210.336051416609</v>
      </c>
      <c r="E87" s="154">
        <f>SUM(E80:E86)</f>
        <v>172.88526477785467</v>
      </c>
    </row>
    <row r="88" spans="2:6" ht="16" thickBot="1" x14ac:dyDescent="0.25"/>
    <row r="89" spans="2:6" ht="32" customHeight="1" thickBot="1" x14ac:dyDescent="0.25">
      <c r="B89" s="159" t="s">
        <v>172</v>
      </c>
      <c r="C89" s="111" t="s">
        <v>82</v>
      </c>
      <c r="D89" s="111" t="s">
        <v>83</v>
      </c>
      <c r="E89" s="111" t="s">
        <v>84</v>
      </c>
      <c r="F89" s="112" t="s">
        <v>166</v>
      </c>
    </row>
    <row r="90" spans="2:6" x14ac:dyDescent="0.2">
      <c r="B90" s="143">
        <v>0</v>
      </c>
      <c r="C90" s="73">
        <v>2000</v>
      </c>
      <c r="D90" s="73">
        <v>170</v>
      </c>
      <c r="E90" s="73">
        <v>319</v>
      </c>
      <c r="F90" s="144">
        <f>SUM(C90:E90)</f>
        <v>2489</v>
      </c>
    </row>
    <row r="91" spans="2:6" x14ac:dyDescent="0.2">
      <c r="B91" s="143">
        <v>1</v>
      </c>
      <c r="C91" s="73">
        <v>2000</v>
      </c>
      <c r="D91" s="73">
        <v>170</v>
      </c>
      <c r="E91" s="73">
        <v>319</v>
      </c>
      <c r="F91" s="144">
        <f t="shared" ref="F91:F99" si="11">SUM(C91:E91)</f>
        <v>2489</v>
      </c>
    </row>
    <row r="92" spans="2:6" x14ac:dyDescent="0.2">
      <c r="B92" s="143">
        <v>2</v>
      </c>
      <c r="C92" s="73">
        <v>2000</v>
      </c>
      <c r="D92" s="73">
        <v>210</v>
      </c>
      <c r="E92" s="73">
        <v>173</v>
      </c>
      <c r="F92" s="144">
        <f t="shared" si="11"/>
        <v>2383</v>
      </c>
    </row>
    <row r="93" spans="2:6" x14ac:dyDescent="0.2">
      <c r="B93" s="143">
        <v>3</v>
      </c>
      <c r="C93" s="73">
        <v>2000</v>
      </c>
      <c r="D93" s="73">
        <v>210</v>
      </c>
      <c r="E93" s="73">
        <v>173</v>
      </c>
      <c r="F93" s="144">
        <f t="shared" si="11"/>
        <v>2383</v>
      </c>
    </row>
    <row r="94" spans="2:6" x14ac:dyDescent="0.2">
      <c r="B94" s="143">
        <v>4</v>
      </c>
      <c r="C94" s="73">
        <v>2000</v>
      </c>
      <c r="D94" s="73">
        <v>210</v>
      </c>
      <c r="E94" s="73">
        <v>173</v>
      </c>
      <c r="F94" s="144">
        <f t="shared" si="11"/>
        <v>2383</v>
      </c>
    </row>
    <row r="95" spans="2:6" x14ac:dyDescent="0.2">
      <c r="B95" s="225">
        <v>5</v>
      </c>
      <c r="C95" s="226">
        <v>2000</v>
      </c>
      <c r="D95" s="226">
        <v>274</v>
      </c>
      <c r="E95" s="226">
        <v>73</v>
      </c>
      <c r="F95" s="227">
        <f t="shared" si="11"/>
        <v>2347</v>
      </c>
    </row>
    <row r="96" spans="2:6" x14ac:dyDescent="0.2">
      <c r="B96" s="143">
        <v>6</v>
      </c>
      <c r="C96" s="73">
        <v>2000</v>
      </c>
      <c r="D96" s="73">
        <v>351</v>
      </c>
      <c r="E96" s="73">
        <v>0</v>
      </c>
      <c r="F96" s="144">
        <f t="shared" si="11"/>
        <v>2351</v>
      </c>
    </row>
    <row r="97" spans="1:7" x14ac:dyDescent="0.2">
      <c r="B97" s="143">
        <v>7</v>
      </c>
      <c r="C97" s="73">
        <v>2500</v>
      </c>
      <c r="D97" s="73">
        <v>351</v>
      </c>
      <c r="E97" s="73">
        <v>0</v>
      </c>
      <c r="F97" s="144">
        <f t="shared" si="11"/>
        <v>2851</v>
      </c>
    </row>
    <row r="98" spans="1:7" x14ac:dyDescent="0.2">
      <c r="B98" s="143">
        <v>8</v>
      </c>
      <c r="C98" s="73">
        <v>2500</v>
      </c>
      <c r="D98" s="73">
        <v>464</v>
      </c>
      <c r="E98" s="73">
        <v>0</v>
      </c>
      <c r="F98" s="144">
        <f t="shared" si="11"/>
        <v>2964</v>
      </c>
    </row>
    <row r="99" spans="1:7" ht="16" thickBot="1" x14ac:dyDescent="0.25">
      <c r="B99" s="145">
        <v>9</v>
      </c>
      <c r="C99" s="76">
        <v>2500</v>
      </c>
      <c r="D99" s="76">
        <v>464</v>
      </c>
      <c r="E99" s="76">
        <v>0</v>
      </c>
      <c r="F99" s="146">
        <f t="shared" si="11"/>
        <v>2964</v>
      </c>
    </row>
    <row r="101" spans="1:7" ht="16" customHeight="1" thickBot="1" x14ac:dyDescent="0.25">
      <c r="B101" s="101"/>
      <c r="C101" s="101"/>
      <c r="D101" s="101"/>
      <c r="E101" s="101"/>
      <c r="F101" s="101"/>
      <c r="G101" s="101"/>
    </row>
    <row r="102" spans="1:7" ht="33" thickBot="1" x14ac:dyDescent="0.25">
      <c r="A102" s="142"/>
      <c r="B102" s="161" t="s">
        <v>82</v>
      </c>
      <c r="C102" s="111" t="s">
        <v>83</v>
      </c>
      <c r="D102" s="111" t="s">
        <v>84</v>
      </c>
      <c r="E102" s="112" t="s">
        <v>166</v>
      </c>
    </row>
    <row r="103" spans="1:7" ht="31" customHeight="1" x14ac:dyDescent="0.2">
      <c r="A103" s="116" t="s">
        <v>167</v>
      </c>
      <c r="B103" s="73">
        <f>'S4-Inventory Simulation'!C87</f>
        <v>2500</v>
      </c>
      <c r="C103" s="73">
        <f>'S4-Inventory Simulation'!D87</f>
        <v>150</v>
      </c>
      <c r="D103" s="73">
        <f>'S4-Inventory Simulation'!E87</f>
        <v>120</v>
      </c>
      <c r="E103" s="144">
        <f>SUM(B103:D103)</f>
        <v>2770</v>
      </c>
    </row>
    <row r="104" spans="1:7" ht="33" thickBot="1" x14ac:dyDescent="0.25">
      <c r="A104" s="117" t="s">
        <v>168</v>
      </c>
      <c r="B104" s="94">
        <f>C87</f>
        <v>2000</v>
      </c>
      <c r="C104" s="94">
        <f>D87</f>
        <v>210.336051416609</v>
      </c>
      <c r="D104" s="94">
        <f>E87</f>
        <v>172.88526477785467</v>
      </c>
      <c r="E104" s="162">
        <f>SUM(B104:D104)</f>
        <v>2383.2213161944637</v>
      </c>
    </row>
  </sheetData>
  <mergeCells count="3">
    <mergeCell ref="K20:L20"/>
    <mergeCell ref="N20:O20"/>
    <mergeCell ref="Q20:T2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FEA4-DFCD-A945-9E9D-09C892F41393}">
  <sheetPr>
    <tabColor rgb="FFEDAAE5"/>
  </sheetPr>
  <dimension ref="A3:Q33"/>
  <sheetViews>
    <sheetView zoomScale="90" zoomScaleNormal="90" workbookViewId="0">
      <selection activeCell="I27" sqref="I27"/>
    </sheetView>
  </sheetViews>
  <sheetFormatPr baseColWidth="10" defaultRowHeight="15" x14ac:dyDescent="0.2"/>
  <cols>
    <col min="1" max="1" width="17.6640625" style="4" customWidth="1"/>
    <col min="2" max="8" width="10.83203125" style="4"/>
    <col min="9" max="9" width="17" style="4" customWidth="1"/>
    <col min="10" max="16384" width="10.83203125" style="4"/>
  </cols>
  <sheetData>
    <row r="3" spans="1:17" ht="16" thickBot="1" x14ac:dyDescent="0.25"/>
    <row r="4" spans="1:17" ht="16" thickBot="1" x14ac:dyDescent="0.25">
      <c r="I4" s="296" t="s">
        <v>277</v>
      </c>
      <c r="J4" s="297"/>
      <c r="K4" s="297"/>
      <c r="L4" s="297"/>
      <c r="M4" s="297"/>
      <c r="N4" s="298"/>
    </row>
    <row r="5" spans="1:17" ht="17" thickBot="1" x14ac:dyDescent="0.25">
      <c r="I5" s="246" t="s">
        <v>97</v>
      </c>
      <c r="J5" s="247" t="s">
        <v>98</v>
      </c>
      <c r="K5" s="241" t="s">
        <v>99</v>
      </c>
      <c r="L5" s="241" t="s">
        <v>100</v>
      </c>
      <c r="M5" s="241" t="s">
        <v>101</v>
      </c>
      <c r="N5" s="242" t="s">
        <v>102</v>
      </c>
    </row>
    <row r="6" spans="1:17" ht="16" x14ac:dyDescent="0.2">
      <c r="I6" s="116" t="s">
        <v>103</v>
      </c>
      <c r="J6" s="254"/>
      <c r="K6" s="127"/>
      <c r="L6" s="127">
        <v>3</v>
      </c>
      <c r="M6" s="127"/>
      <c r="N6" s="129"/>
    </row>
    <row r="7" spans="1:17" ht="17" thickBot="1" x14ac:dyDescent="0.25">
      <c r="I7" s="218" t="s">
        <v>104</v>
      </c>
      <c r="J7" s="255"/>
      <c r="K7" s="126"/>
      <c r="L7" s="126"/>
      <c r="M7" s="126"/>
      <c r="N7" s="131"/>
    </row>
    <row r="8" spans="1:17" ht="17" thickBot="1" x14ac:dyDescent="0.25">
      <c r="A8" s="246" t="s">
        <v>97</v>
      </c>
      <c r="B8" s="247" t="s">
        <v>98</v>
      </c>
      <c r="C8" s="241" t="s">
        <v>99</v>
      </c>
      <c r="D8" s="241" t="s">
        <v>100</v>
      </c>
      <c r="E8" s="241" t="s">
        <v>101</v>
      </c>
      <c r="F8" s="242" t="s">
        <v>102</v>
      </c>
      <c r="I8" s="218" t="s">
        <v>105</v>
      </c>
      <c r="J8" s="255"/>
      <c r="K8" s="126">
        <v>3</v>
      </c>
      <c r="L8" s="126"/>
      <c r="M8" s="126">
        <v>5</v>
      </c>
      <c r="N8" s="131"/>
    </row>
    <row r="9" spans="1:17" ht="16" x14ac:dyDescent="0.2">
      <c r="A9" s="116" t="s">
        <v>103</v>
      </c>
      <c r="B9" s="73">
        <v>14</v>
      </c>
      <c r="C9" s="73">
        <v>7</v>
      </c>
      <c r="D9" s="281">
        <v>3</v>
      </c>
      <c r="E9" s="73">
        <v>7</v>
      </c>
      <c r="F9" s="144">
        <v>27</v>
      </c>
      <c r="G9" s="4">
        <f>B9*B20+C9*C20+D9*D20+E9*E20+F9*F20</f>
        <v>3</v>
      </c>
      <c r="I9" s="218" t="s">
        <v>106</v>
      </c>
      <c r="J9" s="255">
        <v>8</v>
      </c>
      <c r="K9" s="126"/>
      <c r="L9" s="126"/>
      <c r="M9" s="126"/>
      <c r="N9" s="131"/>
    </row>
    <row r="10" spans="1:17" ht="17" thickBot="1" x14ac:dyDescent="0.25">
      <c r="A10" s="218" t="s">
        <v>104</v>
      </c>
      <c r="B10" s="73">
        <v>20</v>
      </c>
      <c r="C10" s="73">
        <v>7</v>
      </c>
      <c r="D10" s="73">
        <v>12</v>
      </c>
      <c r="E10" s="281">
        <v>6</v>
      </c>
      <c r="F10" s="144">
        <v>30</v>
      </c>
      <c r="G10" s="4">
        <f>B10*B21+C10*C21+D10*D21+E10*E21+F10*F21</f>
        <v>0</v>
      </c>
      <c r="I10" s="117" t="s">
        <v>107</v>
      </c>
      <c r="J10" s="166"/>
      <c r="K10" s="133"/>
      <c r="L10" s="133"/>
      <c r="M10" s="133"/>
      <c r="N10" s="134">
        <v>8</v>
      </c>
    </row>
    <row r="11" spans="1:17" ht="17" customHeight="1" x14ac:dyDescent="0.2">
      <c r="A11" s="218" t="s">
        <v>105</v>
      </c>
      <c r="B11" s="73">
        <v>10</v>
      </c>
      <c r="C11" s="281">
        <v>3</v>
      </c>
      <c r="D11" s="73">
        <v>4</v>
      </c>
      <c r="E11" s="73">
        <v>5</v>
      </c>
      <c r="F11" s="144">
        <v>21</v>
      </c>
      <c r="G11" s="4">
        <f>B11*B22+C11*C22+D11*D22+E11*E22+F11*F22</f>
        <v>8</v>
      </c>
      <c r="P11" s="283"/>
      <c r="Q11" s="283"/>
    </row>
    <row r="12" spans="1:17" ht="16" x14ac:dyDescent="0.2">
      <c r="A12" s="218" t="s">
        <v>106</v>
      </c>
      <c r="B12" s="281">
        <v>8</v>
      </c>
      <c r="C12" s="73">
        <v>12</v>
      </c>
      <c r="D12" s="73">
        <v>7</v>
      </c>
      <c r="E12" s="73">
        <v>12</v>
      </c>
      <c r="F12" s="144">
        <v>21</v>
      </c>
      <c r="G12" s="4">
        <f>B12*B23+C12*C23+D12*D23+E12*E23+F12*F23</f>
        <v>8</v>
      </c>
      <c r="P12" s="284"/>
      <c r="Q12" s="284"/>
    </row>
    <row r="13" spans="1:17" ht="17" thickBot="1" x14ac:dyDescent="0.25">
      <c r="A13" s="117" t="s">
        <v>107</v>
      </c>
      <c r="B13" s="76">
        <v>13</v>
      </c>
      <c r="C13" s="76">
        <v>25</v>
      </c>
      <c r="D13" s="76">
        <v>24</v>
      </c>
      <c r="E13" s="76">
        <v>26</v>
      </c>
      <c r="F13" s="282">
        <v>8</v>
      </c>
      <c r="G13" s="4">
        <f>B13*B24+C13*C24+D13*D24+E13*E24+F13*F24</f>
        <v>8</v>
      </c>
    </row>
    <row r="14" spans="1:17" ht="16" thickBot="1" x14ac:dyDescent="0.25">
      <c r="G14" s="4">
        <f>SUM(G9:G13)</f>
        <v>27</v>
      </c>
      <c r="I14" s="296" t="s">
        <v>276</v>
      </c>
      <c r="J14" s="297"/>
      <c r="K14" s="297"/>
      <c r="L14" s="297"/>
      <c r="M14" s="297"/>
      <c r="N14" s="298"/>
    </row>
    <row r="15" spans="1:17" ht="17" thickBot="1" x14ac:dyDescent="0.25">
      <c r="B15" s="296" t="s">
        <v>275</v>
      </c>
      <c r="C15" s="298"/>
      <c r="I15" s="246" t="s">
        <v>97</v>
      </c>
      <c r="J15" s="247" t="s">
        <v>98</v>
      </c>
      <c r="K15" s="241" t="s">
        <v>99</v>
      </c>
      <c r="L15" s="241" t="s">
        <v>100</v>
      </c>
      <c r="M15" s="241" t="s">
        <v>101</v>
      </c>
      <c r="N15" s="242" t="s">
        <v>102</v>
      </c>
    </row>
    <row r="16" spans="1:17" ht="17" thickBot="1" x14ac:dyDescent="0.25">
      <c r="B16" s="301">
        <f>SUM(B12,C11,D9,E10,F13)</f>
        <v>28</v>
      </c>
      <c r="C16" s="302"/>
      <c r="I16" s="116" t="s">
        <v>103</v>
      </c>
      <c r="J16" s="254"/>
      <c r="K16" s="127"/>
      <c r="L16" s="127">
        <v>3</v>
      </c>
      <c r="M16" s="127"/>
      <c r="N16" s="129"/>
    </row>
    <row r="17" spans="1:14" ht="16" x14ac:dyDescent="0.2">
      <c r="I17" s="218" t="s">
        <v>104</v>
      </c>
      <c r="J17" s="255"/>
      <c r="K17" s="126"/>
      <c r="L17" s="126"/>
      <c r="M17" s="126">
        <v>6</v>
      </c>
      <c r="N17" s="131"/>
    </row>
    <row r="18" spans="1:14" ht="17" thickBot="1" x14ac:dyDescent="0.25">
      <c r="I18" s="218" t="s">
        <v>105</v>
      </c>
      <c r="J18" s="255"/>
      <c r="K18" s="126">
        <v>3</v>
      </c>
      <c r="L18" s="126"/>
      <c r="M18" s="126"/>
      <c r="N18" s="131"/>
    </row>
    <row r="19" spans="1:14" ht="17" thickBot="1" x14ac:dyDescent="0.25">
      <c r="A19" s="246" t="s">
        <v>97</v>
      </c>
      <c r="B19" s="247" t="s">
        <v>98</v>
      </c>
      <c r="C19" s="241" t="s">
        <v>99</v>
      </c>
      <c r="D19" s="241" t="s">
        <v>100</v>
      </c>
      <c r="E19" s="241" t="s">
        <v>101</v>
      </c>
      <c r="F19" s="242" t="s">
        <v>102</v>
      </c>
      <c r="I19" s="218" t="s">
        <v>106</v>
      </c>
      <c r="J19" s="255">
        <v>8</v>
      </c>
      <c r="K19" s="126"/>
      <c r="L19" s="126"/>
      <c r="M19" s="126"/>
      <c r="N19" s="131"/>
    </row>
    <row r="20" spans="1:14" ht="17" thickBot="1" x14ac:dyDescent="0.25">
      <c r="A20" s="248" t="s">
        <v>103</v>
      </c>
      <c r="B20" s="73">
        <v>0</v>
      </c>
      <c r="C20" s="73">
        <v>0</v>
      </c>
      <c r="D20" s="73">
        <v>1</v>
      </c>
      <c r="E20" s="73">
        <v>0</v>
      </c>
      <c r="F20" s="144">
        <v>0</v>
      </c>
      <c r="I20" s="117" t="s">
        <v>107</v>
      </c>
      <c r="J20" s="166"/>
      <c r="K20" s="133"/>
      <c r="L20" s="133"/>
      <c r="M20" s="133"/>
      <c r="N20" s="134">
        <v>8</v>
      </c>
    </row>
    <row r="21" spans="1:14" ht="16" x14ac:dyDescent="0.2">
      <c r="A21" s="249" t="s">
        <v>104</v>
      </c>
      <c r="B21" s="73">
        <v>0</v>
      </c>
      <c r="C21" s="73">
        <v>0</v>
      </c>
      <c r="D21" s="73">
        <v>0</v>
      </c>
      <c r="E21" s="73">
        <v>0</v>
      </c>
      <c r="F21" s="144">
        <v>0</v>
      </c>
    </row>
    <row r="22" spans="1:14" ht="16" x14ac:dyDescent="0.2">
      <c r="A22" s="249" t="s">
        <v>105</v>
      </c>
      <c r="B22" s="73">
        <v>0</v>
      </c>
      <c r="C22" s="73">
        <v>1</v>
      </c>
      <c r="D22" s="73">
        <v>0</v>
      </c>
      <c r="E22" s="73">
        <v>1</v>
      </c>
      <c r="F22" s="144">
        <v>0</v>
      </c>
    </row>
    <row r="23" spans="1:14" ht="16" x14ac:dyDescent="0.2">
      <c r="A23" s="249" t="s">
        <v>106</v>
      </c>
      <c r="B23" s="73">
        <v>1</v>
      </c>
      <c r="C23" s="73">
        <v>0</v>
      </c>
      <c r="D23" s="73">
        <v>0</v>
      </c>
      <c r="E23" s="73">
        <v>0</v>
      </c>
      <c r="F23" s="144">
        <v>0</v>
      </c>
    </row>
    <row r="24" spans="1:14" ht="17" thickBot="1" x14ac:dyDescent="0.25">
      <c r="A24" s="250" t="s">
        <v>107</v>
      </c>
      <c r="B24" s="76">
        <v>0</v>
      </c>
      <c r="C24" s="76">
        <v>0</v>
      </c>
      <c r="D24" s="76">
        <v>0</v>
      </c>
      <c r="E24" s="76">
        <v>0</v>
      </c>
      <c r="F24" s="146">
        <v>1</v>
      </c>
    </row>
    <row r="26" spans="1:14" ht="16" thickBot="1" x14ac:dyDescent="0.25"/>
    <row r="27" spans="1:14" ht="16" thickBot="1" x14ac:dyDescent="0.25">
      <c r="B27" s="296" t="s">
        <v>270</v>
      </c>
      <c r="C27" s="297"/>
      <c r="D27" s="297"/>
      <c r="E27" s="297"/>
      <c r="F27" s="298"/>
    </row>
    <row r="28" spans="1:14" ht="16" x14ac:dyDescent="0.2">
      <c r="B28" s="251" t="s">
        <v>98</v>
      </c>
      <c r="C28" s="252" t="s">
        <v>271</v>
      </c>
      <c r="D28" s="252" t="s">
        <v>272</v>
      </c>
      <c r="E28" s="252" t="s">
        <v>273</v>
      </c>
      <c r="F28" s="253" t="s">
        <v>102</v>
      </c>
    </row>
    <row r="29" spans="1:14" ht="16" thickBot="1" x14ac:dyDescent="0.25">
      <c r="B29" s="145">
        <f>SUM(B20:B24)</f>
        <v>1</v>
      </c>
      <c r="C29" s="76">
        <f>SUM(C20:C24)</f>
        <v>1</v>
      </c>
      <c r="D29" s="76">
        <f>SUM(D20:D24)</f>
        <v>1</v>
      </c>
      <c r="E29" s="76">
        <f>SUM(E20:E24)</f>
        <v>1</v>
      </c>
      <c r="F29" s="146">
        <f>SUM(F20:F24)</f>
        <v>1</v>
      </c>
    </row>
    <row r="31" spans="1:14" ht="16" thickBot="1" x14ac:dyDescent="0.25"/>
    <row r="32" spans="1:14" ht="16" thickBot="1" x14ac:dyDescent="0.25">
      <c r="C32" s="290" t="s">
        <v>274</v>
      </c>
      <c r="D32" s="292"/>
    </row>
    <row r="33" spans="3:4" ht="16" thickBot="1" x14ac:dyDescent="0.25">
      <c r="C33" s="299">
        <f>G14</f>
        <v>27</v>
      </c>
      <c r="D33" s="300"/>
    </row>
  </sheetData>
  <mergeCells count="7">
    <mergeCell ref="I4:N4"/>
    <mergeCell ref="C33:D33"/>
    <mergeCell ref="C32:D32"/>
    <mergeCell ref="B27:F27"/>
    <mergeCell ref="B15:C15"/>
    <mergeCell ref="B16:C16"/>
    <mergeCell ref="I14:N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8FF0-7665-E64A-9E55-1DE223291F4A}">
  <sheetPr>
    <tabColor rgb="FFEDAAE5"/>
  </sheetPr>
  <dimension ref="A1:G56"/>
  <sheetViews>
    <sheetView showGridLines="0" workbookViewId="0">
      <selection activeCell="K22" sqref="K22"/>
    </sheetView>
  </sheetViews>
  <sheetFormatPr baseColWidth="10" defaultRowHeight="15" outlineLevelRow="1" x14ac:dyDescent="0.2"/>
  <cols>
    <col min="1" max="1" width="2.33203125" customWidth="1"/>
    <col min="2" max="2" width="17.33203125" bestFit="1" customWidth="1"/>
    <col min="3" max="3" width="9.6640625" bestFit="1" customWidth="1"/>
    <col min="4" max="4" width="12" bestFit="1" customWidth="1"/>
    <col min="5" max="5" width="9.6640625" bestFit="1" customWidth="1"/>
    <col min="6" max="6" width="7" bestFit="1" customWidth="1"/>
    <col min="7" max="7" width="5" bestFit="1" customWidth="1"/>
  </cols>
  <sheetData>
    <row r="1" spans="1:5" x14ac:dyDescent="0.2">
      <c r="A1" s="244" t="s">
        <v>179</v>
      </c>
    </row>
    <row r="2" spans="1:5" x14ac:dyDescent="0.2">
      <c r="A2" s="244" t="s">
        <v>180</v>
      </c>
    </row>
    <row r="3" spans="1:5" x14ac:dyDescent="0.2">
      <c r="A3" s="244" t="s">
        <v>181</v>
      </c>
    </row>
    <row r="4" spans="1:5" x14ac:dyDescent="0.2">
      <c r="A4" s="244" t="s">
        <v>182</v>
      </c>
    </row>
    <row r="5" spans="1:5" x14ac:dyDescent="0.2">
      <c r="A5" s="244" t="s">
        <v>183</v>
      </c>
    </row>
    <row r="6" spans="1:5" outlineLevel="1" x14ac:dyDescent="0.2">
      <c r="A6" s="244"/>
      <c r="B6" t="s">
        <v>184</v>
      </c>
    </row>
    <row r="7" spans="1:5" outlineLevel="1" x14ac:dyDescent="0.2">
      <c r="A7" s="244"/>
      <c r="B7" t="s">
        <v>185</v>
      </c>
    </row>
    <row r="8" spans="1:5" outlineLevel="1" x14ac:dyDescent="0.2">
      <c r="A8" s="244"/>
      <c r="B8" t="s">
        <v>186</v>
      </c>
    </row>
    <row r="9" spans="1:5" x14ac:dyDescent="0.2">
      <c r="A9" s="244" t="s">
        <v>187</v>
      </c>
    </row>
    <row r="10" spans="1:5" outlineLevel="1" x14ac:dyDescent="0.2">
      <c r="B10" t="s">
        <v>188</v>
      </c>
    </row>
    <row r="11" spans="1:5" outlineLevel="1" x14ac:dyDescent="0.2">
      <c r="B11" t="s">
        <v>189</v>
      </c>
    </row>
    <row r="12" spans="1:5" outlineLevel="1" x14ac:dyDescent="0.2">
      <c r="B12" t="s">
        <v>190</v>
      </c>
    </row>
    <row r="14" spans="1:5" ht="16" thickBot="1" x14ac:dyDescent="0.25">
      <c r="A14" t="s">
        <v>191</v>
      </c>
    </row>
    <row r="15" spans="1:5" ht="16" thickBot="1" x14ac:dyDescent="0.25">
      <c r="B15" s="258" t="s">
        <v>192</v>
      </c>
      <c r="C15" s="259" t="s">
        <v>193</v>
      </c>
      <c r="D15" s="259" t="s">
        <v>194</v>
      </c>
      <c r="E15" s="260" t="s">
        <v>195</v>
      </c>
    </row>
    <row r="16" spans="1:5" ht="16" thickBot="1" x14ac:dyDescent="0.25">
      <c r="B16" s="256" t="s">
        <v>203</v>
      </c>
      <c r="C16" s="183"/>
      <c r="D16" s="183">
        <v>27</v>
      </c>
      <c r="E16" s="257">
        <v>27</v>
      </c>
    </row>
    <row r="18" spans="1:6" ht="16" thickBot="1" x14ac:dyDescent="0.25">
      <c r="A18" t="s">
        <v>196</v>
      </c>
    </row>
    <row r="19" spans="1:6" ht="16" thickBot="1" x14ac:dyDescent="0.25">
      <c r="B19" s="258" t="s">
        <v>192</v>
      </c>
      <c r="C19" s="259" t="s">
        <v>193</v>
      </c>
      <c r="D19" s="259" t="s">
        <v>194</v>
      </c>
      <c r="E19" s="259" t="s">
        <v>195</v>
      </c>
      <c r="F19" s="260" t="s">
        <v>197</v>
      </c>
    </row>
    <row r="20" spans="1:6" ht="16" thickBot="1" x14ac:dyDescent="0.25">
      <c r="B20" s="263" t="s">
        <v>267</v>
      </c>
      <c r="C20" s="264"/>
      <c r="D20" s="264"/>
      <c r="E20" s="264"/>
      <c r="F20" s="265"/>
    </row>
    <row r="21" spans="1:6" outlineLevel="1" x14ac:dyDescent="0.2">
      <c r="B21" s="266" t="s">
        <v>204</v>
      </c>
      <c r="C21" s="180" t="s">
        <v>205</v>
      </c>
      <c r="D21" s="180">
        <v>0</v>
      </c>
      <c r="E21" s="180">
        <v>0</v>
      </c>
      <c r="F21" s="267" t="s">
        <v>266</v>
      </c>
    </row>
    <row r="22" spans="1:6" outlineLevel="1" x14ac:dyDescent="0.2">
      <c r="B22" s="268" t="s">
        <v>206</v>
      </c>
      <c r="C22" s="261" t="s">
        <v>207</v>
      </c>
      <c r="D22" s="261">
        <v>0</v>
      </c>
      <c r="E22" s="261">
        <v>0</v>
      </c>
      <c r="F22" s="269" t="s">
        <v>266</v>
      </c>
    </row>
    <row r="23" spans="1:6" outlineLevel="1" x14ac:dyDescent="0.2">
      <c r="B23" s="268" t="s">
        <v>208</v>
      </c>
      <c r="C23" s="261" t="s">
        <v>209</v>
      </c>
      <c r="D23" s="261">
        <v>1</v>
      </c>
      <c r="E23" s="261">
        <v>1</v>
      </c>
      <c r="F23" s="269" t="s">
        <v>266</v>
      </c>
    </row>
    <row r="24" spans="1:6" outlineLevel="1" x14ac:dyDescent="0.2">
      <c r="B24" s="268" t="s">
        <v>210</v>
      </c>
      <c r="C24" s="261" t="s">
        <v>211</v>
      </c>
      <c r="D24" s="261">
        <v>0</v>
      </c>
      <c r="E24" s="261">
        <v>0</v>
      </c>
      <c r="F24" s="269" t="s">
        <v>266</v>
      </c>
    </row>
    <row r="25" spans="1:6" outlineLevel="1" x14ac:dyDescent="0.2">
      <c r="B25" s="268" t="s">
        <v>212</v>
      </c>
      <c r="C25" s="261" t="s">
        <v>213</v>
      </c>
      <c r="D25" s="261">
        <v>0</v>
      </c>
      <c r="E25" s="261">
        <v>0</v>
      </c>
      <c r="F25" s="269" t="s">
        <v>266</v>
      </c>
    </row>
    <row r="26" spans="1:6" outlineLevel="1" x14ac:dyDescent="0.2">
      <c r="B26" s="268" t="s">
        <v>214</v>
      </c>
      <c r="C26" s="261" t="s">
        <v>215</v>
      </c>
      <c r="D26" s="261">
        <v>0</v>
      </c>
      <c r="E26" s="261">
        <v>0</v>
      </c>
      <c r="F26" s="269" t="s">
        <v>266</v>
      </c>
    </row>
    <row r="27" spans="1:6" outlineLevel="1" x14ac:dyDescent="0.2">
      <c r="B27" s="268" t="s">
        <v>216</v>
      </c>
      <c r="C27" s="261" t="s">
        <v>217</v>
      </c>
      <c r="D27" s="261">
        <v>0</v>
      </c>
      <c r="E27" s="261">
        <v>0</v>
      </c>
      <c r="F27" s="269" t="s">
        <v>266</v>
      </c>
    </row>
    <row r="28" spans="1:6" outlineLevel="1" x14ac:dyDescent="0.2">
      <c r="B28" s="268" t="s">
        <v>218</v>
      </c>
      <c r="C28" s="261" t="s">
        <v>219</v>
      </c>
      <c r="D28" s="261">
        <v>0</v>
      </c>
      <c r="E28" s="261">
        <v>0</v>
      </c>
      <c r="F28" s="269" t="s">
        <v>266</v>
      </c>
    </row>
    <row r="29" spans="1:6" outlineLevel="1" x14ac:dyDescent="0.2">
      <c r="B29" s="270" t="s">
        <v>220</v>
      </c>
      <c r="C29" s="262" t="s">
        <v>221</v>
      </c>
      <c r="D29" s="262">
        <v>0</v>
      </c>
      <c r="E29" s="262">
        <v>0</v>
      </c>
      <c r="F29" s="271" t="s">
        <v>266</v>
      </c>
    </row>
    <row r="30" spans="1:6" outlineLevel="1" x14ac:dyDescent="0.2">
      <c r="B30" s="268" t="s">
        <v>222</v>
      </c>
      <c r="C30" s="261" t="s">
        <v>223</v>
      </c>
      <c r="D30" s="261">
        <v>0</v>
      </c>
      <c r="E30" s="261">
        <v>0</v>
      </c>
      <c r="F30" s="269" t="s">
        <v>266</v>
      </c>
    </row>
    <row r="31" spans="1:6" outlineLevel="1" x14ac:dyDescent="0.2">
      <c r="B31" s="268" t="s">
        <v>224</v>
      </c>
      <c r="C31" s="261" t="s">
        <v>225</v>
      </c>
      <c r="D31" s="261">
        <v>0</v>
      </c>
      <c r="E31" s="261">
        <v>0</v>
      </c>
      <c r="F31" s="269" t="s">
        <v>266</v>
      </c>
    </row>
    <row r="32" spans="1:6" outlineLevel="1" x14ac:dyDescent="0.2">
      <c r="B32" s="268" t="s">
        <v>226</v>
      </c>
      <c r="C32" s="261" t="s">
        <v>227</v>
      </c>
      <c r="D32" s="261">
        <v>1</v>
      </c>
      <c r="E32" s="261">
        <v>1</v>
      </c>
      <c r="F32" s="269" t="s">
        <v>266</v>
      </c>
    </row>
    <row r="33" spans="1:7" outlineLevel="1" x14ac:dyDescent="0.2">
      <c r="B33" s="268" t="s">
        <v>228</v>
      </c>
      <c r="C33" s="261" t="s">
        <v>229</v>
      </c>
      <c r="D33" s="261">
        <v>0</v>
      </c>
      <c r="E33" s="261">
        <v>0</v>
      </c>
      <c r="F33" s="269" t="s">
        <v>266</v>
      </c>
    </row>
    <row r="34" spans="1:7" outlineLevel="1" x14ac:dyDescent="0.2">
      <c r="B34" s="268" t="s">
        <v>230</v>
      </c>
      <c r="C34" s="261" t="s">
        <v>231</v>
      </c>
      <c r="D34" s="261">
        <v>1</v>
      </c>
      <c r="E34" s="261">
        <v>1</v>
      </c>
      <c r="F34" s="269" t="s">
        <v>266</v>
      </c>
    </row>
    <row r="35" spans="1:7" outlineLevel="1" x14ac:dyDescent="0.2">
      <c r="B35" s="268" t="s">
        <v>232</v>
      </c>
      <c r="C35" s="261" t="s">
        <v>233</v>
      </c>
      <c r="D35" s="261">
        <v>0</v>
      </c>
      <c r="E35" s="261">
        <v>0</v>
      </c>
      <c r="F35" s="269" t="s">
        <v>266</v>
      </c>
    </row>
    <row r="36" spans="1:7" outlineLevel="1" x14ac:dyDescent="0.2">
      <c r="B36" s="268" t="s">
        <v>234</v>
      </c>
      <c r="C36" s="261" t="s">
        <v>235</v>
      </c>
      <c r="D36" s="261">
        <v>1</v>
      </c>
      <c r="E36" s="261">
        <v>1</v>
      </c>
      <c r="F36" s="269" t="s">
        <v>266</v>
      </c>
    </row>
    <row r="37" spans="1:7" outlineLevel="1" x14ac:dyDescent="0.2">
      <c r="B37" s="268" t="s">
        <v>236</v>
      </c>
      <c r="C37" s="261" t="s">
        <v>237</v>
      </c>
      <c r="D37" s="261">
        <v>0</v>
      </c>
      <c r="E37" s="261">
        <v>0</v>
      </c>
      <c r="F37" s="269" t="s">
        <v>266</v>
      </c>
    </row>
    <row r="38" spans="1:7" outlineLevel="1" x14ac:dyDescent="0.2">
      <c r="B38" s="268" t="s">
        <v>238</v>
      </c>
      <c r="C38" s="261" t="s">
        <v>239</v>
      </c>
      <c r="D38" s="261">
        <v>0</v>
      </c>
      <c r="E38" s="261">
        <v>0</v>
      </c>
      <c r="F38" s="269" t="s">
        <v>266</v>
      </c>
    </row>
    <row r="39" spans="1:7" outlineLevel="1" x14ac:dyDescent="0.2">
      <c r="B39" s="268" t="s">
        <v>240</v>
      </c>
      <c r="C39" s="261" t="s">
        <v>241</v>
      </c>
      <c r="D39" s="261">
        <v>0</v>
      </c>
      <c r="E39" s="261">
        <v>0</v>
      </c>
      <c r="F39" s="269" t="s">
        <v>266</v>
      </c>
    </row>
    <row r="40" spans="1:7" outlineLevel="1" x14ac:dyDescent="0.2">
      <c r="B40" s="268" t="s">
        <v>242</v>
      </c>
      <c r="C40" s="261" t="s">
        <v>243</v>
      </c>
      <c r="D40" s="261">
        <v>0</v>
      </c>
      <c r="E40" s="261">
        <v>0</v>
      </c>
      <c r="F40" s="269" t="s">
        <v>266</v>
      </c>
    </row>
    <row r="41" spans="1:7" outlineLevel="1" x14ac:dyDescent="0.2">
      <c r="B41" s="268" t="s">
        <v>244</v>
      </c>
      <c r="C41" s="261" t="s">
        <v>245</v>
      </c>
      <c r="D41" s="261">
        <v>0</v>
      </c>
      <c r="E41" s="261">
        <v>0</v>
      </c>
      <c r="F41" s="269" t="s">
        <v>266</v>
      </c>
    </row>
    <row r="42" spans="1:7" outlineLevel="1" x14ac:dyDescent="0.2">
      <c r="B42" s="268" t="s">
        <v>246</v>
      </c>
      <c r="C42" s="261" t="s">
        <v>247</v>
      </c>
      <c r="D42" s="261">
        <v>0</v>
      </c>
      <c r="E42" s="261">
        <v>0</v>
      </c>
      <c r="F42" s="269" t="s">
        <v>266</v>
      </c>
    </row>
    <row r="43" spans="1:7" outlineLevel="1" x14ac:dyDescent="0.2">
      <c r="B43" s="268" t="s">
        <v>248</v>
      </c>
      <c r="C43" s="261" t="s">
        <v>249</v>
      </c>
      <c r="D43" s="261">
        <v>0</v>
      </c>
      <c r="E43" s="261">
        <v>0</v>
      </c>
      <c r="F43" s="269" t="s">
        <v>266</v>
      </c>
    </row>
    <row r="44" spans="1:7" outlineLevel="1" x14ac:dyDescent="0.2">
      <c r="B44" s="268" t="s">
        <v>250</v>
      </c>
      <c r="C44" s="261" t="s">
        <v>251</v>
      </c>
      <c r="D44" s="261">
        <v>0</v>
      </c>
      <c r="E44" s="261">
        <v>0</v>
      </c>
      <c r="F44" s="269" t="s">
        <v>266</v>
      </c>
    </row>
    <row r="45" spans="1:7" ht="16" outlineLevel="1" thickBot="1" x14ac:dyDescent="0.25">
      <c r="B45" s="272" t="s">
        <v>252</v>
      </c>
      <c r="C45" s="273" t="s">
        <v>253</v>
      </c>
      <c r="D45" s="273">
        <v>1</v>
      </c>
      <c r="E45" s="273">
        <v>1</v>
      </c>
      <c r="F45" s="274" t="s">
        <v>266</v>
      </c>
    </row>
    <row r="47" spans="1:7" ht="16" thickBot="1" x14ac:dyDescent="0.25">
      <c r="A47" t="s">
        <v>198</v>
      </c>
    </row>
    <row r="48" spans="1:7" ht="16" thickBot="1" x14ac:dyDescent="0.25">
      <c r="B48" s="258" t="s">
        <v>192</v>
      </c>
      <c r="C48" s="259" t="s">
        <v>193</v>
      </c>
      <c r="D48" s="259" t="s">
        <v>199</v>
      </c>
      <c r="E48" s="259" t="s">
        <v>200</v>
      </c>
      <c r="F48" s="259" t="s">
        <v>201</v>
      </c>
      <c r="G48" s="260" t="s">
        <v>202</v>
      </c>
    </row>
    <row r="49" spans="2:7" ht="16" thickBot="1" x14ac:dyDescent="0.25">
      <c r="B49" s="263" t="s">
        <v>268</v>
      </c>
      <c r="C49" s="264"/>
      <c r="D49" s="264"/>
      <c r="E49" s="264"/>
      <c r="F49" s="264"/>
      <c r="G49" s="265"/>
    </row>
    <row r="50" spans="2:7" outlineLevel="1" x14ac:dyDescent="0.2">
      <c r="B50" s="266" t="s">
        <v>254</v>
      </c>
      <c r="C50" s="180" t="s">
        <v>98</v>
      </c>
      <c r="D50" s="180">
        <v>1</v>
      </c>
      <c r="E50" s="180" t="s">
        <v>255</v>
      </c>
      <c r="F50" s="180" t="s">
        <v>256</v>
      </c>
      <c r="G50" s="267">
        <v>0</v>
      </c>
    </row>
    <row r="51" spans="2:7" outlineLevel="1" x14ac:dyDescent="0.2">
      <c r="B51" s="268" t="s">
        <v>257</v>
      </c>
      <c r="C51" s="261" t="s">
        <v>99</v>
      </c>
      <c r="D51" s="261">
        <v>1</v>
      </c>
      <c r="E51" s="261" t="s">
        <v>258</v>
      </c>
      <c r="F51" s="261" t="s">
        <v>256</v>
      </c>
      <c r="G51" s="269">
        <v>0</v>
      </c>
    </row>
    <row r="52" spans="2:7" outlineLevel="1" x14ac:dyDescent="0.2">
      <c r="B52" s="268" t="s">
        <v>259</v>
      </c>
      <c r="C52" s="261" t="s">
        <v>100</v>
      </c>
      <c r="D52" s="261">
        <v>1</v>
      </c>
      <c r="E52" s="261" t="s">
        <v>260</v>
      </c>
      <c r="F52" s="261" t="s">
        <v>256</v>
      </c>
      <c r="G52" s="269">
        <v>0</v>
      </c>
    </row>
    <row r="53" spans="2:7" outlineLevel="1" x14ac:dyDescent="0.2">
      <c r="B53" s="268" t="s">
        <v>261</v>
      </c>
      <c r="C53" s="261" t="s">
        <v>101</v>
      </c>
      <c r="D53" s="261">
        <v>1</v>
      </c>
      <c r="E53" s="261" t="s">
        <v>262</v>
      </c>
      <c r="F53" s="261" t="s">
        <v>256</v>
      </c>
      <c r="G53" s="269">
        <v>0</v>
      </c>
    </row>
    <row r="54" spans="2:7" outlineLevel="1" x14ac:dyDescent="0.2">
      <c r="B54" s="268" t="s">
        <v>263</v>
      </c>
      <c r="C54" s="261" t="s">
        <v>102</v>
      </c>
      <c r="D54" s="261">
        <v>1</v>
      </c>
      <c r="E54" s="261" t="s">
        <v>264</v>
      </c>
      <c r="F54" s="261" t="s">
        <v>256</v>
      </c>
      <c r="G54" s="269">
        <v>0</v>
      </c>
    </row>
    <row r="55" spans="2:7" x14ac:dyDescent="0.2">
      <c r="B55" s="276"/>
      <c r="C55" s="275"/>
      <c r="D55" s="275"/>
      <c r="E55" s="275"/>
      <c r="F55" s="275"/>
      <c r="G55" s="277"/>
    </row>
    <row r="56" spans="2:7" ht="16" thickBot="1" x14ac:dyDescent="0.25">
      <c r="B56" s="278" t="s">
        <v>265</v>
      </c>
      <c r="C56" s="279"/>
      <c r="D56" s="279"/>
      <c r="E56" s="279"/>
      <c r="F56" s="279"/>
      <c r="G56" s="28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11C6-2D16-CC4A-A48F-0594128E4F1A}">
  <sheetPr>
    <tabColor theme="5" tint="0.59999389629810485"/>
  </sheetPr>
  <dimension ref="A1:D83"/>
  <sheetViews>
    <sheetView workbookViewId="0">
      <selection activeCell="J16" sqref="J16"/>
    </sheetView>
  </sheetViews>
  <sheetFormatPr baseColWidth="10" defaultRowHeight="15" x14ac:dyDescent="0.2"/>
  <cols>
    <col min="1" max="1" width="19.83203125" style="4" customWidth="1"/>
    <col min="2" max="2" width="20.33203125" style="4" customWidth="1"/>
    <col min="3" max="3" width="19.6640625" style="4" customWidth="1"/>
    <col min="4" max="16384" width="10.83203125" style="4"/>
  </cols>
  <sheetData>
    <row r="1" spans="1:4" ht="16" x14ac:dyDescent="0.2">
      <c r="A1" s="135" t="s">
        <v>108</v>
      </c>
      <c r="B1" s="200">
        <v>4</v>
      </c>
      <c r="C1" s="198" t="s">
        <v>178</v>
      </c>
    </row>
    <row r="2" spans="1:4" ht="17" thickBot="1" x14ac:dyDescent="0.25">
      <c r="A2" s="52" t="s">
        <v>109</v>
      </c>
      <c r="B2" s="166">
        <f>60/B1</f>
        <v>15</v>
      </c>
      <c r="C2" s="199" t="s">
        <v>169</v>
      </c>
    </row>
    <row r="5" spans="1:4" ht="16" thickBot="1" x14ac:dyDescent="0.25"/>
    <row r="6" spans="1:4" ht="16" thickBot="1" x14ac:dyDescent="0.25">
      <c r="B6" s="303" t="s">
        <v>111</v>
      </c>
      <c r="C6" s="304"/>
      <c r="D6" s="201"/>
    </row>
    <row r="7" spans="1:4" ht="49" thickBot="1" x14ac:dyDescent="0.25">
      <c r="B7" s="113" t="s">
        <v>75</v>
      </c>
      <c r="C7" s="114" t="s">
        <v>76</v>
      </c>
      <c r="D7" s="115" t="s">
        <v>112</v>
      </c>
    </row>
    <row r="8" spans="1:4" x14ac:dyDescent="0.2">
      <c r="B8" s="202">
        <f>_xlfn.POISSON.DIST(D8,$B$2,TRUE)</f>
        <v>3.0590232050182579E-7</v>
      </c>
      <c r="C8" s="73">
        <v>0</v>
      </c>
      <c r="D8" s="144">
        <v>0</v>
      </c>
    </row>
    <row r="9" spans="1:4" x14ac:dyDescent="0.2">
      <c r="B9" s="202">
        <f t="shared" ref="B9:B72" si="0">_xlfn.POISSON.DIST(D9,$B$2,TRUE)</f>
        <v>4.8944371280292126E-6</v>
      </c>
      <c r="C9" s="203">
        <f>B8</f>
        <v>3.0590232050182579E-7</v>
      </c>
      <c r="D9" s="144">
        <v>1</v>
      </c>
    </row>
    <row r="10" spans="1:4" x14ac:dyDescent="0.2">
      <c r="B10" s="202">
        <f t="shared" si="0"/>
        <v>3.9308448184484612E-5</v>
      </c>
      <c r="C10" s="203">
        <f t="shared" ref="C10:C73" si="1">B9</f>
        <v>4.8944371280292126E-6</v>
      </c>
      <c r="D10" s="144">
        <v>2</v>
      </c>
    </row>
    <row r="11" spans="1:4" x14ac:dyDescent="0.2">
      <c r="B11" s="202">
        <f t="shared" si="0"/>
        <v>2.1137850346676163E-4</v>
      </c>
      <c r="C11" s="203">
        <f t="shared" si="1"/>
        <v>3.9308448184484612E-5</v>
      </c>
      <c r="D11" s="144">
        <v>3</v>
      </c>
    </row>
    <row r="12" spans="1:4" x14ac:dyDescent="0.2">
      <c r="B12" s="202">
        <f t="shared" si="0"/>
        <v>8.5664121077530042E-4</v>
      </c>
      <c r="C12" s="203">
        <f t="shared" si="1"/>
        <v>2.1137850346676163E-4</v>
      </c>
      <c r="D12" s="144">
        <v>4</v>
      </c>
    </row>
    <row r="13" spans="1:4" x14ac:dyDescent="0.2">
      <c r="B13" s="202">
        <f t="shared" si="0"/>
        <v>2.7924293327009166E-3</v>
      </c>
      <c r="C13" s="203">
        <f t="shared" si="1"/>
        <v>8.5664121077530042E-4</v>
      </c>
      <c r="D13" s="144">
        <v>5</v>
      </c>
    </row>
    <row r="14" spans="1:4" x14ac:dyDescent="0.2">
      <c r="B14" s="202">
        <f t="shared" si="0"/>
        <v>7.6318996375149576E-3</v>
      </c>
      <c r="C14" s="203">
        <f t="shared" si="1"/>
        <v>2.7924293327009166E-3</v>
      </c>
      <c r="D14" s="144">
        <v>6</v>
      </c>
    </row>
    <row r="15" spans="1:4" x14ac:dyDescent="0.2">
      <c r="B15" s="202">
        <f t="shared" si="0"/>
        <v>1.8002193147830761E-2</v>
      </c>
      <c r="C15" s="203">
        <f t="shared" si="1"/>
        <v>7.6318996375149576E-3</v>
      </c>
      <c r="D15" s="144">
        <v>7</v>
      </c>
    </row>
    <row r="16" spans="1:4" x14ac:dyDescent="0.2">
      <c r="B16" s="202">
        <f t="shared" si="0"/>
        <v>3.7446493479672882E-2</v>
      </c>
      <c r="C16" s="203">
        <f t="shared" si="1"/>
        <v>1.8002193147830761E-2</v>
      </c>
      <c r="D16" s="144">
        <v>8</v>
      </c>
    </row>
    <row r="17" spans="2:4" x14ac:dyDescent="0.2">
      <c r="B17" s="202">
        <f t="shared" si="0"/>
        <v>6.9853660699409792E-2</v>
      </c>
      <c r="C17" s="203">
        <f t="shared" si="1"/>
        <v>3.7446493479672882E-2</v>
      </c>
      <c r="D17" s="144">
        <v>9</v>
      </c>
    </row>
    <row r="18" spans="2:4" x14ac:dyDescent="0.2">
      <c r="B18" s="202">
        <f t="shared" si="0"/>
        <v>0.1184644115290151</v>
      </c>
      <c r="C18" s="203">
        <f t="shared" si="1"/>
        <v>6.9853660699409792E-2</v>
      </c>
      <c r="D18" s="144">
        <v>10</v>
      </c>
    </row>
    <row r="19" spans="2:4" x14ac:dyDescent="0.2">
      <c r="B19" s="202">
        <f t="shared" si="0"/>
        <v>0.18475179902393143</v>
      </c>
      <c r="C19" s="203">
        <f t="shared" si="1"/>
        <v>0.1184644115290151</v>
      </c>
      <c r="D19" s="144">
        <v>11</v>
      </c>
    </row>
    <row r="20" spans="2:4" x14ac:dyDescent="0.2">
      <c r="B20" s="202">
        <f t="shared" si="0"/>
        <v>0.26761103339257686</v>
      </c>
      <c r="C20" s="203">
        <f t="shared" si="1"/>
        <v>0.18475179902393143</v>
      </c>
      <c r="D20" s="144">
        <v>12</v>
      </c>
    </row>
    <row r="21" spans="2:4" x14ac:dyDescent="0.2">
      <c r="B21" s="202">
        <f t="shared" si="0"/>
        <v>0.36321784227947546</v>
      </c>
      <c r="C21" s="203">
        <f t="shared" si="1"/>
        <v>0.26761103339257686</v>
      </c>
      <c r="D21" s="144">
        <v>13</v>
      </c>
    </row>
    <row r="22" spans="2:4" x14ac:dyDescent="0.2">
      <c r="B22" s="202">
        <f t="shared" si="0"/>
        <v>0.46565370894400981</v>
      </c>
      <c r="C22" s="203">
        <f t="shared" si="1"/>
        <v>0.36321784227947546</v>
      </c>
      <c r="D22" s="144">
        <v>14</v>
      </c>
    </row>
    <row r="23" spans="2:4" x14ac:dyDescent="0.2">
      <c r="B23" s="202">
        <f t="shared" si="0"/>
        <v>0.56808957560854367</v>
      </c>
      <c r="C23" s="203">
        <f t="shared" si="1"/>
        <v>0.46565370894400981</v>
      </c>
      <c r="D23" s="144">
        <v>15</v>
      </c>
    </row>
    <row r="24" spans="2:4" x14ac:dyDescent="0.2">
      <c r="B24" s="202">
        <f t="shared" si="0"/>
        <v>0.66412320060654451</v>
      </c>
      <c r="C24" s="203">
        <f t="shared" si="1"/>
        <v>0.56808957560854367</v>
      </c>
      <c r="D24" s="144">
        <v>16</v>
      </c>
    </row>
    <row r="25" spans="2:4" x14ac:dyDescent="0.2">
      <c r="B25" s="202">
        <f t="shared" si="0"/>
        <v>0.74885875207536889</v>
      </c>
      <c r="C25" s="203">
        <f t="shared" si="1"/>
        <v>0.66412320060654451</v>
      </c>
      <c r="D25" s="144">
        <v>17</v>
      </c>
    </row>
    <row r="26" spans="2:4" x14ac:dyDescent="0.2">
      <c r="B26" s="202">
        <f t="shared" si="0"/>
        <v>0.81947171163272248</v>
      </c>
      <c r="C26" s="203">
        <f t="shared" si="1"/>
        <v>0.74885875207536889</v>
      </c>
      <c r="D26" s="144">
        <v>18</v>
      </c>
    </row>
    <row r="27" spans="2:4" x14ac:dyDescent="0.2">
      <c r="B27" s="202">
        <f t="shared" si="0"/>
        <v>0.87521878496747518</v>
      </c>
      <c r="C27" s="203">
        <f t="shared" si="1"/>
        <v>0.81947171163272248</v>
      </c>
      <c r="D27" s="144">
        <v>19</v>
      </c>
    </row>
    <row r="28" spans="2:4" x14ac:dyDescent="0.2">
      <c r="B28" s="202">
        <f t="shared" si="0"/>
        <v>0.91702908996853982</v>
      </c>
      <c r="C28" s="203">
        <f t="shared" si="1"/>
        <v>0.87521878496747518</v>
      </c>
      <c r="D28" s="144">
        <v>20</v>
      </c>
    </row>
    <row r="29" spans="2:4" x14ac:dyDescent="0.2">
      <c r="B29" s="202">
        <f t="shared" si="0"/>
        <v>0.94689359354072877</v>
      </c>
      <c r="C29" s="203">
        <f t="shared" si="1"/>
        <v>0.91702908996853982</v>
      </c>
      <c r="D29" s="144">
        <v>21</v>
      </c>
    </row>
    <row r="30" spans="2:4" x14ac:dyDescent="0.2">
      <c r="B30" s="202">
        <f t="shared" si="0"/>
        <v>0.96725575506722128</v>
      </c>
      <c r="C30" s="203">
        <f t="shared" si="1"/>
        <v>0.94689359354072877</v>
      </c>
      <c r="D30" s="144">
        <v>22</v>
      </c>
    </row>
    <row r="31" spans="2:4" x14ac:dyDescent="0.2">
      <c r="B31" s="202">
        <f t="shared" si="0"/>
        <v>0.98053542562797724</v>
      </c>
      <c r="C31" s="203">
        <f t="shared" si="1"/>
        <v>0.96725575506722128</v>
      </c>
      <c r="D31" s="144">
        <v>23</v>
      </c>
    </row>
    <row r="32" spans="2:4" x14ac:dyDescent="0.2">
      <c r="B32" s="202">
        <f t="shared" si="0"/>
        <v>0.98883521972844979</v>
      </c>
      <c r="C32" s="203">
        <f t="shared" si="1"/>
        <v>0.98053542562797724</v>
      </c>
      <c r="D32" s="144">
        <v>24</v>
      </c>
    </row>
    <row r="33" spans="2:4" x14ac:dyDescent="0.2">
      <c r="B33" s="202">
        <f t="shared" si="0"/>
        <v>0.9938150961887332</v>
      </c>
      <c r="C33" s="203">
        <f t="shared" si="1"/>
        <v>0.98883521972844979</v>
      </c>
      <c r="D33" s="144">
        <v>25</v>
      </c>
    </row>
    <row r="34" spans="2:4" x14ac:dyDescent="0.2">
      <c r="B34" s="202">
        <f t="shared" si="0"/>
        <v>0.99668810183889678</v>
      </c>
      <c r="C34" s="203">
        <f t="shared" si="1"/>
        <v>0.9938150961887332</v>
      </c>
      <c r="D34" s="144">
        <v>26</v>
      </c>
    </row>
    <row r="35" spans="2:4" x14ac:dyDescent="0.2">
      <c r="B35" s="202">
        <f t="shared" si="0"/>
        <v>0.99828421608898754</v>
      </c>
      <c r="C35" s="203">
        <f t="shared" si="1"/>
        <v>0.99668810183889678</v>
      </c>
      <c r="D35" s="144">
        <v>27</v>
      </c>
    </row>
    <row r="36" spans="2:4" x14ac:dyDescent="0.2">
      <c r="B36" s="202">
        <f t="shared" si="0"/>
        <v>0.99913927729439345</v>
      </c>
      <c r="C36" s="203">
        <f t="shared" si="1"/>
        <v>0.99828421608898754</v>
      </c>
      <c r="D36" s="144">
        <v>28</v>
      </c>
    </row>
    <row r="37" spans="2:4" x14ac:dyDescent="0.2">
      <c r="B37" s="202">
        <f t="shared" si="0"/>
        <v>0.99958155033167229</v>
      </c>
      <c r="C37" s="203">
        <f t="shared" si="1"/>
        <v>0.99913927729439345</v>
      </c>
      <c r="D37" s="144">
        <v>29</v>
      </c>
    </row>
    <row r="38" spans="2:4" x14ac:dyDescent="0.2">
      <c r="B38" s="202">
        <f t="shared" si="0"/>
        <v>0.99980268685031182</v>
      </c>
      <c r="C38" s="203">
        <f t="shared" si="1"/>
        <v>0.99958155033167229</v>
      </c>
      <c r="D38" s="144">
        <v>30</v>
      </c>
    </row>
    <row r="39" spans="2:4" x14ac:dyDescent="0.2">
      <c r="B39" s="202">
        <f t="shared" si="0"/>
        <v>0.99990968839158889</v>
      </c>
      <c r="C39" s="203">
        <f t="shared" si="1"/>
        <v>0.99980268685031182</v>
      </c>
      <c r="D39" s="144">
        <v>31</v>
      </c>
    </row>
    <row r="40" spans="2:4" x14ac:dyDescent="0.2">
      <c r="B40" s="202">
        <f t="shared" si="0"/>
        <v>0.99995984536406257</v>
      </c>
      <c r="C40" s="203">
        <f t="shared" si="1"/>
        <v>0.99990968839158889</v>
      </c>
      <c r="D40" s="144">
        <v>32</v>
      </c>
    </row>
    <row r="41" spans="2:4" x14ac:dyDescent="0.2">
      <c r="B41" s="202">
        <f t="shared" si="0"/>
        <v>0.99998264398791425</v>
      </c>
      <c r="C41" s="203">
        <f t="shared" si="1"/>
        <v>0.99995984536406257</v>
      </c>
      <c r="D41" s="144">
        <v>33</v>
      </c>
    </row>
    <row r="42" spans="2:4" x14ac:dyDescent="0.2">
      <c r="B42" s="202">
        <f t="shared" si="0"/>
        <v>0.99999270220431935</v>
      </c>
      <c r="C42" s="203">
        <f t="shared" si="1"/>
        <v>0.99998264398791425</v>
      </c>
      <c r="D42" s="144">
        <v>34</v>
      </c>
    </row>
    <row r="43" spans="2:4" x14ac:dyDescent="0.2">
      <c r="B43" s="202">
        <f t="shared" si="0"/>
        <v>0.99999701286849296</v>
      </c>
      <c r="C43" s="203">
        <f t="shared" si="1"/>
        <v>0.99999270220431935</v>
      </c>
      <c r="D43" s="144">
        <v>35</v>
      </c>
    </row>
    <row r="44" spans="2:4" x14ac:dyDescent="0.2">
      <c r="B44" s="202">
        <f t="shared" si="0"/>
        <v>0.99999880897856541</v>
      </c>
      <c r="C44" s="203">
        <f t="shared" si="1"/>
        <v>0.99999701286849296</v>
      </c>
      <c r="D44" s="144">
        <v>36</v>
      </c>
    </row>
    <row r="45" spans="2:4" x14ac:dyDescent="0.2">
      <c r="B45" s="202">
        <f t="shared" si="0"/>
        <v>0.9999995371312973</v>
      </c>
      <c r="C45" s="203">
        <f t="shared" si="1"/>
        <v>0.99999880897856541</v>
      </c>
      <c r="D45" s="144">
        <v>37</v>
      </c>
    </row>
    <row r="46" spans="2:4" x14ac:dyDescent="0.2">
      <c r="B46" s="202">
        <f t="shared" si="0"/>
        <v>0.99999982456000747</v>
      </c>
      <c r="C46" s="203">
        <f t="shared" si="1"/>
        <v>0.9999995371312973</v>
      </c>
      <c r="D46" s="144">
        <v>38</v>
      </c>
    </row>
    <row r="47" spans="2:4" x14ac:dyDescent="0.2">
      <c r="B47" s="202">
        <f t="shared" si="0"/>
        <v>0.99999993510951124</v>
      </c>
      <c r="C47" s="203">
        <f t="shared" si="1"/>
        <v>0.99999982456000747</v>
      </c>
      <c r="D47" s="144">
        <v>39</v>
      </c>
    </row>
    <row r="48" spans="2:4" x14ac:dyDescent="0.2">
      <c r="B48" s="202">
        <f t="shared" si="0"/>
        <v>0.99999997656557515</v>
      </c>
      <c r="C48" s="203">
        <f t="shared" si="1"/>
        <v>0.99999993510951124</v>
      </c>
      <c r="D48" s="144">
        <v>40</v>
      </c>
    </row>
    <row r="49" spans="2:4" x14ac:dyDescent="0.2">
      <c r="B49" s="202">
        <f t="shared" si="0"/>
        <v>0.99999999173242782</v>
      </c>
      <c r="C49" s="203">
        <f t="shared" si="1"/>
        <v>0.99999997656557515</v>
      </c>
      <c r="D49" s="144">
        <v>41</v>
      </c>
    </row>
    <row r="50" spans="2:4" x14ac:dyDescent="0.2">
      <c r="B50" s="202">
        <f t="shared" si="0"/>
        <v>0.99999999714916088</v>
      </c>
      <c r="C50" s="203">
        <f t="shared" si="1"/>
        <v>0.99999999173242782</v>
      </c>
      <c r="D50" s="144">
        <v>42</v>
      </c>
    </row>
    <row r="51" spans="2:4" x14ac:dyDescent="0.2">
      <c r="B51" s="202">
        <f t="shared" si="0"/>
        <v>0.99999999903871895</v>
      </c>
      <c r="C51" s="203">
        <f t="shared" si="1"/>
        <v>0.99999999714916088</v>
      </c>
      <c r="D51" s="144">
        <v>43</v>
      </c>
    </row>
    <row r="52" spans="2:4" x14ac:dyDescent="0.2">
      <c r="B52" s="202">
        <f t="shared" si="0"/>
        <v>0.99999999968288655</v>
      </c>
      <c r="C52" s="203">
        <f t="shared" si="1"/>
        <v>0.99999999903871895</v>
      </c>
      <c r="D52" s="144">
        <v>44</v>
      </c>
    </row>
    <row r="53" spans="2:4" x14ac:dyDescent="0.2">
      <c r="B53" s="202">
        <f t="shared" si="0"/>
        <v>0.99999999989760902</v>
      </c>
      <c r="C53" s="203">
        <f t="shared" si="1"/>
        <v>0.99999999968288655</v>
      </c>
      <c r="D53" s="144">
        <v>45</v>
      </c>
    </row>
    <row r="54" spans="2:4" x14ac:dyDescent="0.2">
      <c r="B54" s="202">
        <f t="shared" si="0"/>
        <v>0.99999999996762723</v>
      </c>
      <c r="C54" s="203">
        <f t="shared" si="1"/>
        <v>0.99999999989760902</v>
      </c>
      <c r="D54" s="144">
        <v>46</v>
      </c>
    </row>
    <row r="55" spans="2:4" x14ac:dyDescent="0.2">
      <c r="B55" s="202">
        <f t="shared" si="0"/>
        <v>0.99999999998997346</v>
      </c>
      <c r="C55" s="203">
        <f t="shared" si="1"/>
        <v>0.99999999996762723</v>
      </c>
      <c r="D55" s="144">
        <v>47</v>
      </c>
    </row>
    <row r="56" spans="2:4" x14ac:dyDescent="0.2">
      <c r="B56" s="202">
        <f t="shared" si="0"/>
        <v>0.99999999999695666</v>
      </c>
      <c r="C56" s="203">
        <f t="shared" si="1"/>
        <v>0.99999999998997346</v>
      </c>
      <c r="D56" s="144">
        <v>48</v>
      </c>
    </row>
    <row r="57" spans="2:4" x14ac:dyDescent="0.2">
      <c r="B57" s="202">
        <f t="shared" si="0"/>
        <v>0.99999999999909439</v>
      </c>
      <c r="C57" s="203">
        <f t="shared" si="1"/>
        <v>0.99999999999695666</v>
      </c>
      <c r="D57" s="144">
        <v>49</v>
      </c>
    </row>
    <row r="58" spans="2:4" x14ac:dyDescent="0.2">
      <c r="B58" s="202">
        <f t="shared" si="0"/>
        <v>0.99999999999973577</v>
      </c>
      <c r="C58" s="203">
        <f t="shared" si="1"/>
        <v>0.99999999999909439</v>
      </c>
      <c r="D58" s="144">
        <v>50</v>
      </c>
    </row>
    <row r="59" spans="2:4" x14ac:dyDescent="0.2">
      <c r="B59" s="202">
        <f t="shared" si="0"/>
        <v>0.99999999999992428</v>
      </c>
      <c r="C59" s="203">
        <f t="shared" si="1"/>
        <v>0.99999999999973577</v>
      </c>
      <c r="D59" s="144">
        <v>51</v>
      </c>
    </row>
    <row r="60" spans="2:4" x14ac:dyDescent="0.2">
      <c r="B60" s="202">
        <f t="shared" si="0"/>
        <v>0.99999999999997868</v>
      </c>
      <c r="C60" s="203">
        <f t="shared" si="1"/>
        <v>0.99999999999992428</v>
      </c>
      <c r="D60" s="144">
        <v>52</v>
      </c>
    </row>
    <row r="61" spans="2:4" x14ac:dyDescent="0.2">
      <c r="B61" s="202">
        <f t="shared" si="0"/>
        <v>0.99999999999999412</v>
      </c>
      <c r="C61" s="203">
        <f t="shared" si="1"/>
        <v>0.99999999999997868</v>
      </c>
      <c r="D61" s="144">
        <v>53</v>
      </c>
    </row>
    <row r="62" spans="2:4" x14ac:dyDescent="0.2">
      <c r="B62" s="202">
        <f t="shared" si="0"/>
        <v>0.99999999999999845</v>
      </c>
      <c r="C62" s="203">
        <f t="shared" si="1"/>
        <v>0.99999999999999412</v>
      </c>
      <c r="D62" s="144">
        <v>54</v>
      </c>
    </row>
    <row r="63" spans="2:4" x14ac:dyDescent="0.2">
      <c r="B63" s="202">
        <f t="shared" si="0"/>
        <v>0.99999999999999956</v>
      </c>
      <c r="C63" s="203">
        <f t="shared" si="1"/>
        <v>0.99999999999999845</v>
      </c>
      <c r="D63" s="144">
        <v>55</v>
      </c>
    </row>
    <row r="64" spans="2:4" x14ac:dyDescent="0.2">
      <c r="B64" s="202">
        <f t="shared" si="0"/>
        <v>0.99999999999999989</v>
      </c>
      <c r="C64" s="203">
        <f t="shared" si="1"/>
        <v>0.99999999999999956</v>
      </c>
      <c r="D64" s="144">
        <v>56</v>
      </c>
    </row>
    <row r="65" spans="2:4" x14ac:dyDescent="0.2">
      <c r="B65" s="202">
        <f t="shared" si="0"/>
        <v>1</v>
      </c>
      <c r="C65" s="203">
        <f t="shared" si="1"/>
        <v>0.99999999999999989</v>
      </c>
      <c r="D65" s="144">
        <v>57</v>
      </c>
    </row>
    <row r="66" spans="2:4" x14ac:dyDescent="0.2">
      <c r="B66" s="202">
        <f t="shared" si="0"/>
        <v>1</v>
      </c>
      <c r="C66" s="203">
        <f t="shared" si="1"/>
        <v>1</v>
      </c>
      <c r="D66" s="144">
        <v>58</v>
      </c>
    </row>
    <row r="67" spans="2:4" x14ac:dyDescent="0.2">
      <c r="B67" s="202">
        <f t="shared" si="0"/>
        <v>1</v>
      </c>
      <c r="C67" s="203">
        <f t="shared" si="1"/>
        <v>1</v>
      </c>
      <c r="D67" s="144">
        <v>59</v>
      </c>
    </row>
    <row r="68" spans="2:4" x14ac:dyDescent="0.2">
      <c r="B68" s="202">
        <f t="shared" si="0"/>
        <v>1</v>
      </c>
      <c r="C68" s="203">
        <f t="shared" si="1"/>
        <v>1</v>
      </c>
      <c r="D68" s="144">
        <v>60</v>
      </c>
    </row>
    <row r="69" spans="2:4" x14ac:dyDescent="0.2">
      <c r="B69" s="202">
        <f t="shared" si="0"/>
        <v>1</v>
      </c>
      <c r="C69" s="203">
        <f t="shared" si="1"/>
        <v>1</v>
      </c>
      <c r="D69" s="144">
        <v>61</v>
      </c>
    </row>
    <row r="70" spans="2:4" x14ac:dyDescent="0.2">
      <c r="B70" s="202">
        <f t="shared" si="0"/>
        <v>1</v>
      </c>
      <c r="C70" s="203">
        <f t="shared" si="1"/>
        <v>1</v>
      </c>
      <c r="D70" s="144">
        <v>62</v>
      </c>
    </row>
    <row r="71" spans="2:4" x14ac:dyDescent="0.2">
      <c r="B71" s="202">
        <f t="shared" si="0"/>
        <v>1</v>
      </c>
      <c r="C71" s="203">
        <f t="shared" si="1"/>
        <v>1</v>
      </c>
      <c r="D71" s="144">
        <v>63</v>
      </c>
    </row>
    <row r="72" spans="2:4" x14ac:dyDescent="0.2">
      <c r="B72" s="202">
        <f t="shared" si="0"/>
        <v>1</v>
      </c>
      <c r="C72" s="203">
        <f t="shared" si="1"/>
        <v>1</v>
      </c>
      <c r="D72" s="144">
        <v>64</v>
      </c>
    </row>
    <row r="73" spans="2:4" x14ac:dyDescent="0.2">
      <c r="B73" s="202">
        <f t="shared" ref="B73:B83" si="2">_xlfn.POISSON.DIST(D73,$B$2,TRUE)</f>
        <v>1</v>
      </c>
      <c r="C73" s="203">
        <f t="shared" si="1"/>
        <v>1</v>
      </c>
      <c r="D73" s="144">
        <v>65</v>
      </c>
    </row>
    <row r="74" spans="2:4" x14ac:dyDescent="0.2">
      <c r="B74" s="202">
        <f t="shared" si="2"/>
        <v>1</v>
      </c>
      <c r="C74" s="203">
        <f t="shared" ref="C74:C83" si="3">B73</f>
        <v>1</v>
      </c>
      <c r="D74" s="144">
        <v>66</v>
      </c>
    </row>
    <row r="75" spans="2:4" x14ac:dyDescent="0.2">
      <c r="B75" s="202">
        <f t="shared" si="2"/>
        <v>1</v>
      </c>
      <c r="C75" s="203">
        <f t="shared" si="3"/>
        <v>1</v>
      </c>
      <c r="D75" s="144">
        <v>67</v>
      </c>
    </row>
    <row r="76" spans="2:4" x14ac:dyDescent="0.2">
      <c r="B76" s="202">
        <f t="shared" si="2"/>
        <v>1</v>
      </c>
      <c r="C76" s="203">
        <f t="shared" si="3"/>
        <v>1</v>
      </c>
      <c r="D76" s="144">
        <v>68</v>
      </c>
    </row>
    <row r="77" spans="2:4" x14ac:dyDescent="0.2">
      <c r="B77" s="202">
        <f t="shared" si="2"/>
        <v>1</v>
      </c>
      <c r="C77" s="203">
        <f t="shared" si="3"/>
        <v>1</v>
      </c>
      <c r="D77" s="144">
        <v>69</v>
      </c>
    </row>
    <row r="78" spans="2:4" x14ac:dyDescent="0.2">
      <c r="B78" s="202">
        <f t="shared" si="2"/>
        <v>1</v>
      </c>
      <c r="C78" s="203">
        <f t="shared" si="3"/>
        <v>1</v>
      </c>
      <c r="D78" s="144">
        <v>70</v>
      </c>
    </row>
    <row r="79" spans="2:4" x14ac:dyDescent="0.2">
      <c r="B79" s="202">
        <f t="shared" si="2"/>
        <v>1</v>
      </c>
      <c r="C79" s="203">
        <f t="shared" si="3"/>
        <v>1</v>
      </c>
      <c r="D79" s="144">
        <v>71</v>
      </c>
    </row>
    <row r="80" spans="2:4" x14ac:dyDescent="0.2">
      <c r="B80" s="202">
        <f t="shared" si="2"/>
        <v>1</v>
      </c>
      <c r="C80" s="203">
        <f t="shared" si="3"/>
        <v>1</v>
      </c>
      <c r="D80" s="144">
        <v>72</v>
      </c>
    </row>
    <row r="81" spans="2:4" x14ac:dyDescent="0.2">
      <c r="B81" s="202">
        <f t="shared" si="2"/>
        <v>1</v>
      </c>
      <c r="C81" s="203">
        <f t="shared" si="3"/>
        <v>1</v>
      </c>
      <c r="D81" s="144">
        <v>73</v>
      </c>
    </row>
    <row r="82" spans="2:4" x14ac:dyDescent="0.2">
      <c r="B82" s="202">
        <f t="shared" si="2"/>
        <v>1</v>
      </c>
      <c r="C82" s="203">
        <f t="shared" si="3"/>
        <v>1</v>
      </c>
      <c r="D82" s="144">
        <v>74</v>
      </c>
    </row>
    <row r="83" spans="2:4" ht="16" thickBot="1" x14ac:dyDescent="0.25">
      <c r="B83" s="204">
        <f t="shared" si="2"/>
        <v>1</v>
      </c>
      <c r="C83" s="205">
        <f t="shared" si="3"/>
        <v>1</v>
      </c>
      <c r="D83" s="146">
        <v>75</v>
      </c>
    </row>
  </sheetData>
  <mergeCells count="1">
    <mergeCell ref="B6:C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E045-4080-0640-8556-D55BE27E879E}">
  <sheetPr>
    <tabColor theme="5" tint="0.59999389629810485"/>
  </sheetPr>
  <dimension ref="A1:F100"/>
  <sheetViews>
    <sheetView workbookViewId="0">
      <selection activeCell="I16" sqref="I16"/>
    </sheetView>
  </sheetViews>
  <sheetFormatPr baseColWidth="10" defaultRowHeight="15" x14ac:dyDescent="0.2"/>
  <sheetData>
    <row r="1" spans="1:6" x14ac:dyDescent="0.2">
      <c r="A1" s="209">
        <v>2.1444251770826175E-2</v>
      </c>
      <c r="B1" s="215">
        <v>0.41353951227550373</v>
      </c>
      <c r="C1" s="210">
        <v>0.3585828143910425</v>
      </c>
    </row>
    <row r="2" spans="1:6" x14ac:dyDescent="0.2">
      <c r="A2" s="211">
        <v>0.70136147025104678</v>
      </c>
      <c r="B2" s="208">
        <v>0.78223050934366445</v>
      </c>
      <c r="C2" s="212">
        <v>0.94817053896755465</v>
      </c>
    </row>
    <row r="3" spans="1:6" x14ac:dyDescent="0.2">
      <c r="A3" s="211">
        <v>0.9022484276919851</v>
      </c>
      <c r="B3" s="208">
        <v>8.9324219193926177E-2</v>
      </c>
      <c r="C3" s="212">
        <v>0.27215199231735987</v>
      </c>
    </row>
    <row r="4" spans="1:6" x14ac:dyDescent="0.2">
      <c r="A4" s="211">
        <v>5.853487786768697E-2</v>
      </c>
      <c r="B4" s="208">
        <v>0.79569232221492203</v>
      </c>
      <c r="C4" s="212">
        <v>0.20085946619550674</v>
      </c>
    </row>
    <row r="5" spans="1:6" ht="16" thickBot="1" x14ac:dyDescent="0.25">
      <c r="A5" s="211">
        <v>0.84504834788155203</v>
      </c>
      <c r="B5" s="208">
        <v>0.72758284524436245</v>
      </c>
      <c r="C5" s="212">
        <v>0.48488002199906854</v>
      </c>
    </row>
    <row r="6" spans="1:6" ht="16" thickBot="1" x14ac:dyDescent="0.25">
      <c r="A6" s="211">
        <v>0.37852973834543013</v>
      </c>
      <c r="B6" s="208">
        <v>0.94931237164387128</v>
      </c>
      <c r="C6" s="212">
        <v>9.3030218543964538E-2</v>
      </c>
      <c r="E6" s="206" t="s">
        <v>72</v>
      </c>
      <c r="F6" s="207">
        <v>2740</v>
      </c>
    </row>
    <row r="7" spans="1:6" x14ac:dyDescent="0.2">
      <c r="A7" s="211">
        <v>0.55888306841202218</v>
      </c>
      <c r="B7" s="208">
        <v>0.14773080085764212</v>
      </c>
      <c r="C7" s="212">
        <v>0.91157001439089425</v>
      </c>
    </row>
    <row r="8" spans="1:6" x14ac:dyDescent="0.2">
      <c r="A8" s="211">
        <v>0.75723186775913087</v>
      </c>
      <c r="B8" s="208">
        <v>0.79600142771191962</v>
      </c>
      <c r="C8" s="212">
        <v>0.39599555423296778</v>
      </c>
    </row>
    <row r="9" spans="1:6" x14ac:dyDescent="0.2">
      <c r="A9" s="211">
        <v>0.4972799934899807</v>
      </c>
      <c r="B9" s="208">
        <v>0.78485058610553415</v>
      </c>
      <c r="C9" s="212">
        <v>0.98380067571243301</v>
      </c>
    </row>
    <row r="10" spans="1:6" x14ac:dyDescent="0.2">
      <c r="A10" s="211">
        <v>0.73795669886188431</v>
      </c>
      <c r="B10" s="208">
        <v>0.83823777168907121</v>
      </c>
      <c r="C10" s="212">
        <v>0.26222877821988833</v>
      </c>
    </row>
    <row r="11" spans="1:6" x14ac:dyDescent="0.2">
      <c r="A11" s="211">
        <v>0.27907554166348442</v>
      </c>
      <c r="B11" s="208">
        <v>0.42262873818288965</v>
      </c>
      <c r="C11" s="212">
        <v>0.12120263982620214</v>
      </c>
    </row>
    <row r="12" spans="1:6" x14ac:dyDescent="0.2">
      <c r="A12" s="211">
        <v>5.2767558979227934E-2</v>
      </c>
      <c r="B12" s="208">
        <v>0.86436376388387925</v>
      </c>
      <c r="C12" s="212">
        <v>0.36177959635936635</v>
      </c>
    </row>
    <row r="13" spans="1:6" x14ac:dyDescent="0.2">
      <c r="A13" s="211">
        <v>0.42967601187046434</v>
      </c>
      <c r="B13" s="208">
        <v>0.56473150689375196</v>
      </c>
      <c r="C13" s="212">
        <v>0.44243636328840458</v>
      </c>
    </row>
    <row r="14" spans="1:6" x14ac:dyDescent="0.2">
      <c r="A14" s="211">
        <v>2.7957788215930476E-2</v>
      </c>
      <c r="B14" s="208">
        <v>0.88654654514349374</v>
      </c>
      <c r="C14" s="212">
        <v>0.18778422669870046</v>
      </c>
    </row>
    <row r="15" spans="1:6" x14ac:dyDescent="0.2">
      <c r="A15" s="211">
        <v>8.9498125058365116E-2</v>
      </c>
      <c r="B15" s="208">
        <v>0.19498785594244852</v>
      </c>
      <c r="C15" s="212">
        <v>0.16089482473251168</v>
      </c>
    </row>
    <row r="16" spans="1:6" x14ac:dyDescent="0.2">
      <c r="A16" s="211">
        <v>0.15931927932394635</v>
      </c>
      <c r="B16" s="208">
        <v>0.67912759756628782</v>
      </c>
      <c r="C16" s="212">
        <v>9.7532296598671145E-2</v>
      </c>
    </row>
    <row r="17" spans="1:3" x14ac:dyDescent="0.2">
      <c r="A17" s="211">
        <v>0.22530893386588849</v>
      </c>
      <c r="B17" s="208">
        <v>0.76725148398766829</v>
      </c>
      <c r="C17" s="212">
        <v>0.19569138074093098</v>
      </c>
    </row>
    <row r="18" spans="1:3" x14ac:dyDescent="0.2">
      <c r="A18" s="211">
        <v>0.98503611282680004</v>
      </c>
      <c r="B18" s="208">
        <v>0.50194828002804348</v>
      </c>
      <c r="C18" s="212">
        <v>0.2447424313261837</v>
      </c>
    </row>
    <row r="19" spans="1:3" x14ac:dyDescent="0.2">
      <c r="A19" s="211">
        <v>0.3860432991692998</v>
      </c>
      <c r="B19" s="208">
        <v>0.22972913842169992</v>
      </c>
      <c r="C19" s="212">
        <v>5.7629453510804778E-2</v>
      </c>
    </row>
    <row r="20" spans="1:3" x14ac:dyDescent="0.2">
      <c r="A20" s="211">
        <v>0.57822515609591507</v>
      </c>
      <c r="B20" s="208">
        <v>0.23019850404476677</v>
      </c>
      <c r="C20" s="212">
        <v>0.94625748039514646</v>
      </c>
    </row>
    <row r="21" spans="1:3" x14ac:dyDescent="0.2">
      <c r="A21" s="211">
        <v>0.74947300122560612</v>
      </c>
      <c r="B21" s="208">
        <v>0.39273159876127334</v>
      </c>
      <c r="C21" s="212">
        <v>0.63998038072138108</v>
      </c>
    </row>
    <row r="22" spans="1:3" x14ac:dyDescent="0.2">
      <c r="A22" s="211">
        <v>0.15025878425233941</v>
      </c>
      <c r="B22" s="208">
        <v>0.39938692906842888</v>
      </c>
      <c r="C22" s="212">
        <v>0.49611685308446962</v>
      </c>
    </row>
    <row r="23" spans="1:3" x14ac:dyDescent="0.2">
      <c r="A23" s="211">
        <v>0.23594979068075764</v>
      </c>
      <c r="B23" s="208">
        <v>0.60813197149342479</v>
      </c>
      <c r="C23" s="212">
        <v>0.87404488999119256</v>
      </c>
    </row>
    <row r="24" spans="1:3" x14ac:dyDescent="0.2">
      <c r="A24" s="211">
        <v>7.2466081973382307E-2</v>
      </c>
      <c r="B24" s="208">
        <v>0.93743972663648412</v>
      </c>
      <c r="C24" s="212">
        <v>0.54948557938890796</v>
      </c>
    </row>
    <row r="25" spans="1:3" x14ac:dyDescent="0.2">
      <c r="A25" s="211">
        <v>0.20413278937532231</v>
      </c>
      <c r="B25" s="208">
        <v>0.8597910310420166</v>
      </c>
      <c r="C25" s="212">
        <v>0.50785872317285219</v>
      </c>
    </row>
    <row r="26" spans="1:3" x14ac:dyDescent="0.2">
      <c r="A26" s="211">
        <v>0.58156036612650397</v>
      </c>
      <c r="B26" s="208">
        <v>0.2850734881521545</v>
      </c>
      <c r="C26" s="212">
        <v>0.2301153732603953</v>
      </c>
    </row>
    <row r="27" spans="1:3" x14ac:dyDescent="0.2">
      <c r="A27" s="211">
        <v>0.54907838746396753</v>
      </c>
      <c r="B27" s="208">
        <v>0.36045810690170998</v>
      </c>
      <c r="C27" s="212">
        <v>0.21940269703948995</v>
      </c>
    </row>
    <row r="28" spans="1:3" x14ac:dyDescent="0.2">
      <c r="A28" s="211">
        <v>0.50112914270773956</v>
      </c>
      <c r="B28" s="208">
        <v>0.47750148897874239</v>
      </c>
      <c r="C28" s="212">
        <v>0.36752526572324579</v>
      </c>
    </row>
    <row r="29" spans="1:3" x14ac:dyDescent="0.2">
      <c r="A29" s="211">
        <v>0.99714101059229165</v>
      </c>
      <c r="B29" s="208">
        <v>0.94896502464495835</v>
      </c>
      <c r="C29" s="212">
        <v>0.25516920781469399</v>
      </c>
    </row>
    <row r="30" spans="1:3" x14ac:dyDescent="0.2">
      <c r="A30" s="211">
        <v>0.62887574156228254</v>
      </c>
      <c r="B30" s="208">
        <v>0.51458843728275427</v>
      </c>
      <c r="C30" s="212">
        <v>0.68786541125172074</v>
      </c>
    </row>
    <row r="31" spans="1:3" x14ac:dyDescent="0.2">
      <c r="A31" s="211">
        <v>0.95396690766977466</v>
      </c>
      <c r="B31" s="208">
        <v>0.3218172059030352</v>
      </c>
      <c r="C31" s="212">
        <v>0.78177961231292203</v>
      </c>
    </row>
    <row r="32" spans="1:3" x14ac:dyDescent="0.2">
      <c r="A32" s="211">
        <v>0.36994414328129221</v>
      </c>
      <c r="B32" s="208">
        <v>0.65121612867862733</v>
      </c>
      <c r="C32" s="212">
        <v>0.98947470169024299</v>
      </c>
    </row>
    <row r="33" spans="1:3" x14ac:dyDescent="0.2">
      <c r="A33" s="211">
        <v>0.10131130791330305</v>
      </c>
      <c r="B33" s="208">
        <v>0.73915209888441125</v>
      </c>
      <c r="C33" s="212">
        <v>0.92932595029907583</v>
      </c>
    </row>
    <row r="34" spans="1:3" x14ac:dyDescent="0.2">
      <c r="A34" s="211">
        <v>0.1812466765666598</v>
      </c>
      <c r="B34" s="208">
        <v>0.21289305585105581</v>
      </c>
      <c r="C34" s="212">
        <v>9.3589688694844811E-2</v>
      </c>
    </row>
    <row r="35" spans="1:3" x14ac:dyDescent="0.2">
      <c r="A35" s="211">
        <v>0.96189789425670069</v>
      </c>
      <c r="B35" s="208">
        <v>0.61790877236887287</v>
      </c>
      <c r="C35" s="212">
        <v>0.19273720364679453</v>
      </c>
    </row>
    <row r="36" spans="1:3" x14ac:dyDescent="0.2">
      <c r="A36" s="211">
        <v>0.33418169167553152</v>
      </c>
      <c r="B36" s="208">
        <v>0.59169199065849742</v>
      </c>
      <c r="C36" s="212">
        <v>0.56728699736636456</v>
      </c>
    </row>
    <row r="37" spans="1:3" x14ac:dyDescent="0.2">
      <c r="A37" s="211">
        <v>0.39256473648946955</v>
      </c>
      <c r="B37" s="208">
        <v>0.83552617851436428</v>
      </c>
      <c r="C37" s="212">
        <v>0.68848229092009472</v>
      </c>
    </row>
    <row r="38" spans="1:3" x14ac:dyDescent="0.2">
      <c r="A38" s="211">
        <v>0.32186349403199904</v>
      </c>
      <c r="B38" s="208">
        <v>0.55974419580760604</v>
      </c>
      <c r="C38" s="212">
        <v>0.62069893843526902</v>
      </c>
    </row>
    <row r="39" spans="1:3" x14ac:dyDescent="0.2">
      <c r="A39" s="211">
        <v>8.7058281566509174E-2</v>
      </c>
      <c r="B39" s="208">
        <v>0.18853828831973407</v>
      </c>
      <c r="C39" s="212">
        <v>0.76301178977033668</v>
      </c>
    </row>
    <row r="40" spans="1:3" x14ac:dyDescent="0.2">
      <c r="A40" s="211">
        <v>0.93915067004931652</v>
      </c>
      <c r="B40" s="208">
        <v>0.30531151886345426</v>
      </c>
      <c r="C40" s="212">
        <v>0.3706975380753621</v>
      </c>
    </row>
    <row r="41" spans="1:3" x14ac:dyDescent="0.2">
      <c r="A41" s="211">
        <v>0.31352243261110152</v>
      </c>
      <c r="B41" s="208">
        <v>0.37152489478305212</v>
      </c>
      <c r="C41" s="212">
        <v>0.21890661875666428</v>
      </c>
    </row>
    <row r="42" spans="1:3" x14ac:dyDescent="0.2">
      <c r="A42" s="211">
        <v>0.16354144325644776</v>
      </c>
      <c r="B42" s="208">
        <v>0.64103681111756561</v>
      </c>
      <c r="C42" s="212">
        <v>0.9056844529256618</v>
      </c>
    </row>
    <row r="43" spans="1:3" x14ac:dyDescent="0.2">
      <c r="A43" s="211">
        <v>0.83860032159769926</v>
      </c>
      <c r="B43" s="208">
        <v>0.35560509253088624</v>
      </c>
      <c r="C43" s="212">
        <v>0.65479016660470057</v>
      </c>
    </row>
    <row r="44" spans="1:3" x14ac:dyDescent="0.2">
      <c r="A44" s="211">
        <v>5.8330125202578548E-2</v>
      </c>
      <c r="B44" s="208">
        <v>0.35441427973770268</v>
      </c>
      <c r="C44" s="212">
        <v>0.64079955156929769</v>
      </c>
    </row>
    <row r="45" spans="1:3" x14ac:dyDescent="0.2">
      <c r="A45" s="211">
        <v>0.91806322518645933</v>
      </c>
      <c r="B45" s="208">
        <v>0.88862570882245229</v>
      </c>
      <c r="C45" s="212">
        <v>0.13228817895627029</v>
      </c>
    </row>
    <row r="46" spans="1:3" x14ac:dyDescent="0.2">
      <c r="A46" s="211">
        <v>0.36742371803495277</v>
      </c>
      <c r="B46" s="208">
        <v>0.29042901345082978</v>
      </c>
      <c r="C46" s="212">
        <v>0.24042906809618186</v>
      </c>
    </row>
    <row r="47" spans="1:3" x14ac:dyDescent="0.2">
      <c r="A47" s="211">
        <v>0.89134749252877543</v>
      </c>
      <c r="B47" s="208">
        <v>0.877306931129334</v>
      </c>
      <c r="C47" s="212">
        <v>0.89759149071648325</v>
      </c>
    </row>
    <row r="48" spans="1:3" x14ac:dyDescent="0.2">
      <c r="A48" s="211">
        <v>0.82018447193325705</v>
      </c>
      <c r="B48" s="208">
        <v>0.84041978225131508</v>
      </c>
      <c r="C48" s="212">
        <v>0.93528029785271749</v>
      </c>
    </row>
    <row r="49" spans="1:3" x14ac:dyDescent="0.2">
      <c r="A49" s="211">
        <v>0.25596601062266439</v>
      </c>
      <c r="B49" s="208">
        <v>2.074053511989328E-2</v>
      </c>
      <c r="C49" s="212">
        <v>0.58617376004633204</v>
      </c>
    </row>
    <row r="50" spans="1:3" x14ac:dyDescent="0.2">
      <c r="A50" s="211">
        <v>0.82238509870245358</v>
      </c>
      <c r="B50" s="208">
        <v>0.82635389213746124</v>
      </c>
      <c r="C50" s="212">
        <v>0.52986515431192949</v>
      </c>
    </row>
    <row r="51" spans="1:3" x14ac:dyDescent="0.2">
      <c r="A51" s="211">
        <v>0.4436485205980244</v>
      </c>
      <c r="B51" s="208">
        <v>0.40068569099562507</v>
      </c>
      <c r="C51" s="212">
        <v>0.32440856347065816</v>
      </c>
    </row>
    <row r="52" spans="1:3" x14ac:dyDescent="0.2">
      <c r="A52" s="211">
        <v>0.33472625135198525</v>
      </c>
      <c r="B52" s="208">
        <v>0.74410647281636788</v>
      </c>
      <c r="C52" s="212">
        <v>0.19748862469451903</v>
      </c>
    </row>
    <row r="53" spans="1:3" x14ac:dyDescent="0.2">
      <c r="A53" s="211">
        <v>0.19131524078143539</v>
      </c>
      <c r="B53" s="208">
        <v>0.43525181358459025</v>
      </c>
      <c r="C53" s="212">
        <v>0.27723091620822943</v>
      </c>
    </row>
    <row r="54" spans="1:3" x14ac:dyDescent="0.2">
      <c r="A54" s="211">
        <v>0.42000871171243892</v>
      </c>
      <c r="B54" s="208">
        <v>8.6417750961341785E-2</v>
      </c>
      <c r="C54" s="212">
        <v>0.42314040727128294</v>
      </c>
    </row>
    <row r="55" spans="1:3" x14ac:dyDescent="0.2">
      <c r="A55" s="211">
        <v>0.72082500845232278</v>
      </c>
      <c r="B55" s="208">
        <v>0.90591705818936097</v>
      </c>
      <c r="C55" s="212">
        <v>0.7479969885889427</v>
      </c>
    </row>
    <row r="56" spans="1:3" x14ac:dyDescent="0.2">
      <c r="A56" s="211">
        <v>0.585387214359542</v>
      </c>
      <c r="B56" s="208">
        <v>0.60291174082221077</v>
      </c>
      <c r="C56" s="212">
        <v>0.13762799889670127</v>
      </c>
    </row>
    <row r="57" spans="1:3" x14ac:dyDescent="0.2">
      <c r="A57" s="211">
        <v>0.11377745685809174</v>
      </c>
      <c r="B57" s="208">
        <v>0.25771741394778591</v>
      </c>
      <c r="C57" s="212">
        <v>0.45657622043815266</v>
      </c>
    </row>
    <row r="58" spans="1:3" x14ac:dyDescent="0.2">
      <c r="A58" s="211">
        <v>0.67653690403166078</v>
      </c>
      <c r="B58" s="208">
        <v>0.55574606012354888</v>
      </c>
      <c r="C58" s="212">
        <v>0.42403249648587427</v>
      </c>
    </row>
    <row r="59" spans="1:3" x14ac:dyDescent="0.2">
      <c r="A59" s="211">
        <v>0.71416843808915864</v>
      </c>
      <c r="B59" s="208">
        <v>2.8938964488422016E-2</v>
      </c>
      <c r="C59" s="212">
        <v>0.37717615690882139</v>
      </c>
    </row>
    <row r="60" spans="1:3" x14ac:dyDescent="0.2">
      <c r="A60" s="211">
        <v>0.19966916656106207</v>
      </c>
      <c r="B60" s="208">
        <v>0.83968239177003612</v>
      </c>
      <c r="C60" s="212">
        <v>0.54195847899744221</v>
      </c>
    </row>
    <row r="61" spans="1:3" x14ac:dyDescent="0.2">
      <c r="A61" s="211">
        <v>0.69615651001043455</v>
      </c>
      <c r="B61" s="208">
        <v>0.30246374537351717</v>
      </c>
      <c r="C61" s="212">
        <v>0.5081684927028457</v>
      </c>
    </row>
    <row r="62" spans="1:3" x14ac:dyDescent="0.2">
      <c r="A62" s="211">
        <v>0.78785685672790595</v>
      </c>
      <c r="B62" s="208">
        <v>0.51019102591564458</v>
      </c>
      <c r="C62" s="212">
        <v>0.78057256423894905</v>
      </c>
    </row>
    <row r="63" spans="1:3" x14ac:dyDescent="0.2">
      <c r="A63" s="211">
        <v>8.3087164016015444E-2</v>
      </c>
      <c r="B63" s="208">
        <v>0.44596561717147271</v>
      </c>
      <c r="C63" s="212">
        <v>0.34412780094152678</v>
      </c>
    </row>
    <row r="64" spans="1:3" x14ac:dyDescent="0.2">
      <c r="A64" s="211">
        <v>0.75595042424087899</v>
      </c>
      <c r="B64" s="208">
        <v>0.25878021645302896</v>
      </c>
      <c r="C64" s="212">
        <v>0.31909792605745507</v>
      </c>
    </row>
    <row r="65" spans="1:3" x14ac:dyDescent="0.2">
      <c r="A65" s="211">
        <v>7.8843247647789882E-2</v>
      </c>
      <c r="B65" s="208">
        <v>0.11846321640464627</v>
      </c>
      <c r="C65" s="212">
        <v>1.1278112889862671E-2</v>
      </c>
    </row>
    <row r="66" spans="1:3" x14ac:dyDescent="0.2">
      <c r="A66" s="211">
        <v>0.55124333992192676</v>
      </c>
      <c r="B66" s="208">
        <v>0.7468140678232601</v>
      </c>
      <c r="C66" s="212">
        <v>0.70403790553288437</v>
      </c>
    </row>
    <row r="67" spans="1:3" x14ac:dyDescent="0.2">
      <c r="A67" s="211">
        <v>0.76507829118756498</v>
      </c>
      <c r="B67" s="208">
        <v>0.67083998940458522</v>
      </c>
      <c r="C67" s="212">
        <v>0.807701922863583</v>
      </c>
    </row>
    <row r="68" spans="1:3" x14ac:dyDescent="0.2">
      <c r="A68" s="211">
        <v>4.6217568240229774E-2</v>
      </c>
      <c r="B68" s="208">
        <v>0.77866941354175534</v>
      </c>
      <c r="C68" s="212">
        <v>9.6833396282435119E-2</v>
      </c>
    </row>
    <row r="69" spans="1:3" x14ac:dyDescent="0.2">
      <c r="A69" s="211">
        <v>0.47889131888695591</v>
      </c>
      <c r="B69" s="208">
        <v>0.72639653306752283</v>
      </c>
      <c r="C69" s="212">
        <v>0.54653126585601419</v>
      </c>
    </row>
    <row r="70" spans="1:3" x14ac:dyDescent="0.2">
      <c r="A70" s="211">
        <v>0.55098524203104216</v>
      </c>
      <c r="B70" s="208">
        <v>0.40896281572476162</v>
      </c>
      <c r="C70" s="212">
        <v>0.43804388606829747</v>
      </c>
    </row>
    <row r="71" spans="1:3" x14ac:dyDescent="0.2">
      <c r="A71" s="211">
        <v>0.20359314987603255</v>
      </c>
      <c r="B71" s="208">
        <v>0.79006996647923722</v>
      </c>
      <c r="C71" s="212">
        <v>0.70592661653921318</v>
      </c>
    </row>
    <row r="72" spans="1:3" x14ac:dyDescent="0.2">
      <c r="A72" s="211">
        <v>0.5086441745556165</v>
      </c>
      <c r="B72" s="208">
        <v>0.78264175624709653</v>
      </c>
      <c r="C72" s="212">
        <v>0.85999724495224528</v>
      </c>
    </row>
    <row r="73" spans="1:3" x14ac:dyDescent="0.2">
      <c r="A73" s="211">
        <v>0.97369591238614916</v>
      </c>
      <c r="B73" s="208">
        <v>0.90719947400838108</v>
      </c>
      <c r="C73" s="212">
        <v>0.30155965886151403</v>
      </c>
    </row>
    <row r="74" spans="1:3" x14ac:dyDescent="0.2">
      <c r="A74" s="211">
        <v>0.31318648546616851</v>
      </c>
      <c r="B74" s="208">
        <v>0.72526122989377995</v>
      </c>
      <c r="C74" s="212">
        <v>0.46549082475970072</v>
      </c>
    </row>
    <row r="75" spans="1:3" x14ac:dyDescent="0.2">
      <c r="A75" s="211">
        <v>0.50429173628999469</v>
      </c>
      <c r="B75" s="208">
        <v>0.63121182594039094</v>
      </c>
      <c r="C75" s="212">
        <v>0.7771585801509947</v>
      </c>
    </row>
    <row r="76" spans="1:3" x14ac:dyDescent="0.2">
      <c r="A76" s="211">
        <v>0.70425659776863481</v>
      </c>
      <c r="B76" s="208">
        <v>0.44063869744569001</v>
      </c>
      <c r="C76" s="212">
        <v>0.81458796971225556</v>
      </c>
    </row>
    <row r="77" spans="1:3" x14ac:dyDescent="0.2">
      <c r="A77" s="211">
        <v>0.78000695387833141</v>
      </c>
      <c r="B77" s="208">
        <v>0.57687383311655083</v>
      </c>
      <c r="C77" s="212">
        <v>0.51851318987017181</v>
      </c>
    </row>
    <row r="78" spans="1:3" x14ac:dyDescent="0.2">
      <c r="A78" s="211">
        <v>0.65118214797749285</v>
      </c>
      <c r="B78" s="208">
        <v>0.41836105772217785</v>
      </c>
      <c r="C78" s="212">
        <v>0.3942971366431085</v>
      </c>
    </row>
    <row r="79" spans="1:3" x14ac:dyDescent="0.2">
      <c r="A79" s="211">
        <v>0.95197556072472389</v>
      </c>
      <c r="B79" s="208">
        <v>0.85324910043424418</v>
      </c>
      <c r="C79" s="212">
        <v>0.55763099834212615</v>
      </c>
    </row>
    <row r="80" spans="1:3" x14ac:dyDescent="0.2">
      <c r="A80" s="211">
        <v>0.10418913611405954</v>
      </c>
      <c r="B80" s="208">
        <v>0.10681066899877538</v>
      </c>
      <c r="C80" s="212">
        <v>0.16691386241787759</v>
      </c>
    </row>
    <row r="81" spans="1:3" x14ac:dyDescent="0.2">
      <c r="A81" s="211">
        <v>0.32128565726861619</v>
      </c>
      <c r="B81" s="208">
        <v>0.84804171363266267</v>
      </c>
      <c r="C81" s="212">
        <v>3.7081024161112038E-2</v>
      </c>
    </row>
    <row r="82" spans="1:3" x14ac:dyDescent="0.2">
      <c r="A82" s="211">
        <v>0.22077307581006228</v>
      </c>
      <c r="B82" s="208">
        <v>0.53308513971654936</v>
      </c>
      <c r="C82" s="212">
        <v>0.56194321604536068</v>
      </c>
    </row>
    <row r="83" spans="1:3" x14ac:dyDescent="0.2">
      <c r="A83" s="211">
        <v>0.57963207437639686</v>
      </c>
      <c r="B83" s="208">
        <v>0.87627404410218546</v>
      </c>
      <c r="C83" s="212">
        <v>0.53785922543046027</v>
      </c>
    </row>
    <row r="84" spans="1:3" x14ac:dyDescent="0.2">
      <c r="A84" s="211">
        <v>0.80000180974602786</v>
      </c>
      <c r="B84" s="208">
        <v>0.63041640148983169</v>
      </c>
      <c r="C84" s="212">
        <v>0.40845983960128379</v>
      </c>
    </row>
    <row r="85" spans="1:3" x14ac:dyDescent="0.2">
      <c r="A85" s="211">
        <v>0.98452417877713416</v>
      </c>
      <c r="B85" s="208">
        <v>0.89787270729330959</v>
      </c>
      <c r="C85" s="212">
        <v>0.5465914786544589</v>
      </c>
    </row>
    <row r="86" spans="1:3" x14ac:dyDescent="0.2">
      <c r="A86" s="211">
        <v>0.5629817454903302</v>
      </c>
      <c r="B86" s="208">
        <v>3.4196455978879915E-2</v>
      </c>
      <c r="C86" s="212">
        <v>0.73983563703477184</v>
      </c>
    </row>
    <row r="87" spans="1:3" x14ac:dyDescent="0.2">
      <c r="A87" s="211">
        <v>0.41755164340955747</v>
      </c>
      <c r="B87" s="208">
        <v>0.79047078443247398</v>
      </c>
      <c r="C87" s="212">
        <v>0.44247395658980776</v>
      </c>
    </row>
    <row r="88" spans="1:3" x14ac:dyDescent="0.2">
      <c r="A88" s="211">
        <v>0.65978840489861945</v>
      </c>
      <c r="B88" s="208">
        <v>6.3721131097395495E-2</v>
      </c>
      <c r="C88" s="212">
        <v>0.96105035392616422</v>
      </c>
    </row>
    <row r="89" spans="1:3" x14ac:dyDescent="0.2">
      <c r="A89" s="211">
        <v>0.37329843704276644</v>
      </c>
      <c r="B89" s="208">
        <v>2.683137777579547E-2</v>
      </c>
      <c r="C89" s="212">
        <v>0.95496627779443111</v>
      </c>
    </row>
    <row r="90" spans="1:3" x14ac:dyDescent="0.2">
      <c r="A90" s="211">
        <v>0.11823089100338094</v>
      </c>
      <c r="B90" s="208">
        <v>0.10658509382353401</v>
      </c>
      <c r="C90" s="212">
        <v>0.37567189213618257</v>
      </c>
    </row>
    <row r="91" spans="1:3" x14ac:dyDescent="0.2">
      <c r="A91" s="211">
        <v>0.91749113282071948</v>
      </c>
      <c r="B91" s="208">
        <v>0.27346931783178324</v>
      </c>
      <c r="C91" s="212">
        <v>0.19882479878087753</v>
      </c>
    </row>
    <row r="92" spans="1:3" x14ac:dyDescent="0.2">
      <c r="A92" s="211">
        <v>0.64839311020839641</v>
      </c>
      <c r="B92" s="208">
        <v>0.54300327251805147</v>
      </c>
      <c r="C92" s="212">
        <v>0.25600121089071093</v>
      </c>
    </row>
    <row r="93" spans="1:3" x14ac:dyDescent="0.2">
      <c r="A93" s="211">
        <v>0.61235144017839405</v>
      </c>
      <c r="B93" s="208">
        <v>0.79065507826891501</v>
      </c>
      <c r="C93" s="212">
        <v>0.53990046565416294</v>
      </c>
    </row>
    <row r="94" spans="1:3" x14ac:dyDescent="0.2">
      <c r="A94" s="211">
        <v>0.10712624951597594</v>
      </c>
      <c r="B94" s="208">
        <v>0.47087561500765179</v>
      </c>
      <c r="C94" s="212">
        <v>6.4614336036431762E-3</v>
      </c>
    </row>
    <row r="95" spans="1:3" x14ac:dyDescent="0.2">
      <c r="A95" s="211">
        <v>0.59731457643085839</v>
      </c>
      <c r="B95" s="208">
        <v>6.6086073436814399E-2</v>
      </c>
      <c r="C95" s="212">
        <v>0.70863625253952867</v>
      </c>
    </row>
    <row r="96" spans="1:3" x14ac:dyDescent="0.2">
      <c r="A96" s="211">
        <v>4.9496431858044317E-2</v>
      </c>
      <c r="B96" s="208">
        <v>0.88653023815086585</v>
      </c>
      <c r="C96" s="212">
        <v>0.91371260160287493</v>
      </c>
    </row>
    <row r="97" spans="1:3" x14ac:dyDescent="0.2">
      <c r="A97" s="211">
        <v>0.76769513951972834</v>
      </c>
      <c r="B97" s="208">
        <v>0.65220990807386581</v>
      </c>
      <c r="C97" s="212">
        <v>0.69192499746192482</v>
      </c>
    </row>
    <row r="98" spans="1:3" x14ac:dyDescent="0.2">
      <c r="A98" s="211">
        <v>0.18343234257001073</v>
      </c>
      <c r="B98" s="208">
        <v>0.94738157417037594</v>
      </c>
      <c r="C98" s="212">
        <v>0.64211708150902624</v>
      </c>
    </row>
    <row r="99" spans="1:3" x14ac:dyDescent="0.2">
      <c r="A99" s="211">
        <v>6.1788922204537744E-2</v>
      </c>
      <c r="B99" s="208">
        <v>0.48641549166590697</v>
      </c>
      <c r="C99" s="212">
        <v>0.18516842889840177</v>
      </c>
    </row>
    <row r="100" spans="1:3" ht="16" thickBot="1" x14ac:dyDescent="0.25">
      <c r="A100" s="213">
        <v>0.12578449543834874</v>
      </c>
      <c r="B100" s="216">
        <v>6.0014832327149263E-2</v>
      </c>
      <c r="C100" s="214">
        <v>0.66928692239769128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C82-3D83-2F4F-A123-93582D2DAEC6}">
  <sheetPr>
    <tabColor theme="5" tint="0.59999389629810485"/>
  </sheetPr>
  <dimension ref="B2:N31"/>
  <sheetViews>
    <sheetView zoomScale="83" workbookViewId="0">
      <selection activeCell="M8" sqref="M8"/>
    </sheetView>
  </sheetViews>
  <sheetFormatPr baseColWidth="10" defaultRowHeight="15" x14ac:dyDescent="0.2"/>
  <cols>
    <col min="1" max="6" width="10.83203125" style="4"/>
    <col min="7" max="7" width="11.6640625" style="4" bestFit="1" customWidth="1"/>
    <col min="8" max="9" width="10.83203125" style="4"/>
    <col min="10" max="11" width="11.6640625" style="4" bestFit="1" customWidth="1"/>
    <col min="12" max="16384" width="10.83203125" style="4"/>
  </cols>
  <sheetData>
    <row r="2" spans="2:14" ht="16" thickBot="1" x14ac:dyDescent="0.25"/>
    <row r="3" spans="2:14" ht="33" thickBot="1" x14ac:dyDescent="0.25">
      <c r="C3" s="135" t="s">
        <v>110</v>
      </c>
      <c r="D3" s="217">
        <v>4</v>
      </c>
      <c r="F3" s="296" t="s">
        <v>114</v>
      </c>
      <c r="G3" s="298"/>
      <c r="I3" s="290" t="s">
        <v>133</v>
      </c>
      <c r="J3" s="294"/>
    </row>
    <row r="4" spans="2:14" ht="33" thickBot="1" x14ac:dyDescent="0.25">
      <c r="C4" s="52" t="s">
        <v>113</v>
      </c>
      <c r="D4" s="146">
        <f>60/D3</f>
        <v>15</v>
      </c>
      <c r="F4" s="171" t="s">
        <v>115</v>
      </c>
      <c r="G4" s="119">
        <f>SUM(N16:N31)</f>
        <v>191.35168294509651</v>
      </c>
      <c r="I4" s="171" t="s">
        <v>134</v>
      </c>
      <c r="J4" s="119">
        <f>SUM(L16:L31)</f>
        <v>63.712376559516564</v>
      </c>
    </row>
    <row r="5" spans="2:14" ht="33" thickBot="1" x14ac:dyDescent="0.25">
      <c r="F5" s="218" t="s">
        <v>116</v>
      </c>
      <c r="G5" s="119">
        <f>AVERAGE(N17:N31)</f>
        <v>12.756778863006435</v>
      </c>
      <c r="I5" s="117" t="s">
        <v>135</v>
      </c>
      <c r="J5" s="219">
        <f>J4/MAX(H16:H31)</f>
        <v>0.22521103402743464</v>
      </c>
    </row>
    <row r="6" spans="2:14" ht="33" thickBot="1" x14ac:dyDescent="0.25">
      <c r="F6" s="117" t="s">
        <v>117</v>
      </c>
      <c r="G6" s="121">
        <f>MAX(N17:N31)</f>
        <v>44.966598227798499</v>
      </c>
    </row>
    <row r="7" spans="2:14" ht="34" customHeight="1" thickBot="1" x14ac:dyDescent="0.25">
      <c r="C7" s="135" t="s">
        <v>118</v>
      </c>
      <c r="D7" s="217">
        <f>60/D8</f>
        <v>3</v>
      </c>
      <c r="I7" s="296" t="s">
        <v>136</v>
      </c>
      <c r="J7" s="298"/>
    </row>
    <row r="8" spans="2:14" ht="33" thickBot="1" x14ac:dyDescent="0.25">
      <c r="C8" s="52" t="s">
        <v>119</v>
      </c>
      <c r="D8" s="146">
        <v>20</v>
      </c>
      <c r="I8" s="171" t="s">
        <v>134</v>
      </c>
      <c r="J8" s="220">
        <f>SUM(M16:M31)</f>
        <v>80.327943211283895</v>
      </c>
    </row>
    <row r="9" spans="2:14" ht="36" customHeight="1" thickBot="1" x14ac:dyDescent="0.25">
      <c r="I9" s="117" t="s">
        <v>135</v>
      </c>
      <c r="J9" s="219">
        <f>J8/MAX(K16:K31)</f>
        <v>0.32369604620419934</v>
      </c>
    </row>
    <row r="13" spans="2:14" ht="16" thickBot="1" x14ac:dyDescent="0.25"/>
    <row r="14" spans="2:14" ht="16" thickBot="1" x14ac:dyDescent="0.25">
      <c r="B14" s="293" t="s">
        <v>129</v>
      </c>
      <c r="C14" s="295"/>
      <c r="D14" s="295"/>
      <c r="E14" s="295"/>
      <c r="F14" s="295" t="s">
        <v>130</v>
      </c>
      <c r="G14" s="295"/>
      <c r="H14" s="295"/>
      <c r="I14" s="295" t="s">
        <v>131</v>
      </c>
      <c r="J14" s="295"/>
      <c r="K14" s="295"/>
      <c r="L14" s="295" t="s">
        <v>132</v>
      </c>
      <c r="M14" s="295"/>
      <c r="N14" s="294"/>
    </row>
    <row r="15" spans="2:14" ht="49" thickBot="1" x14ac:dyDescent="0.25">
      <c r="B15" s="113" t="s">
        <v>120</v>
      </c>
      <c r="C15" s="114" t="s">
        <v>121</v>
      </c>
      <c r="D15" s="114" t="s">
        <v>122</v>
      </c>
      <c r="E15" s="114" t="s">
        <v>123</v>
      </c>
      <c r="F15" s="114" t="s">
        <v>124</v>
      </c>
      <c r="G15" s="114" t="s">
        <v>125</v>
      </c>
      <c r="H15" s="114" t="s">
        <v>126</v>
      </c>
      <c r="I15" s="114" t="s">
        <v>124</v>
      </c>
      <c r="J15" s="114" t="s">
        <v>125</v>
      </c>
      <c r="K15" s="114" t="s">
        <v>126</v>
      </c>
      <c r="L15" s="114" t="s">
        <v>127</v>
      </c>
      <c r="M15" s="114" t="s">
        <v>128</v>
      </c>
      <c r="N15" s="115" t="s">
        <v>114</v>
      </c>
    </row>
    <row r="16" spans="2:14" x14ac:dyDescent="0.2">
      <c r="B16" s="143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144">
        <v>0</v>
      </c>
    </row>
    <row r="17" spans="2:14" ht="16" x14ac:dyDescent="0.2">
      <c r="B17" s="143">
        <v>1</v>
      </c>
      <c r="C17" s="73">
        <f>VLOOKUP('S6-Random Number Generation'!A1,'S6-Poisson Distance'!$C$8:$D$83,2)</f>
        <v>8</v>
      </c>
      <c r="D17" s="73">
        <f>D16+C17</f>
        <v>8</v>
      </c>
      <c r="E17" s="73">
        <f>IF(MAX($H$16:H16)&lt;MAX($K$16:K16),1,2)</f>
        <v>2</v>
      </c>
      <c r="F17" s="73" t="str">
        <f>IF(E17=1,MAX(D17,$H$16:H16),"")</f>
        <v/>
      </c>
      <c r="G17" s="73" t="str">
        <f>IF(F17="","",-$D$8*LN(1-'S6-Random Number Generation'!B1))</f>
        <v/>
      </c>
      <c r="H17" s="73" t="str">
        <f>IF(F17="","",F17+G17)</f>
        <v/>
      </c>
      <c r="I17" s="73">
        <f>IF(E17=2,MAX(D17,$K$16:K16),"")</f>
        <v>8</v>
      </c>
      <c r="J17" s="118">
        <f>IF(I17="","",-$D$8*LN(1-'S6-Random Number Generation'!C1))</f>
        <v>8.8815039635939605</v>
      </c>
      <c r="K17" s="118">
        <f>IF(I17="","",I17+J17)</f>
        <v>16.881503963593961</v>
      </c>
      <c r="L17" s="73" t="str">
        <f>IF(F17="","",F17-MAX($H$16:H16))</f>
        <v/>
      </c>
      <c r="M17" s="73">
        <f>IF(I17="","",I17-MAX($K$16:K16))</f>
        <v>8</v>
      </c>
      <c r="N17" s="144">
        <f>MAX(F17,I17)-D17</f>
        <v>0</v>
      </c>
    </row>
    <row r="18" spans="2:14" ht="16" x14ac:dyDescent="0.2">
      <c r="B18" s="143">
        <v>2</v>
      </c>
      <c r="C18" s="73">
        <f>VLOOKUP('S6-Random Number Generation'!A2,'S6-Poisson Distance'!$C$8:$D$83,2)</f>
        <v>17</v>
      </c>
      <c r="D18" s="73">
        <f t="shared" ref="D18:D31" si="0">D17+C18</f>
        <v>25</v>
      </c>
      <c r="E18" s="73">
        <f>IF(MAX($H$16:H17)&lt;MAX($K$16:K17),1,2)</f>
        <v>1</v>
      </c>
      <c r="F18" s="73">
        <f>IF(E18=1,MAX(D18,$H$16:H17),"")</f>
        <v>25</v>
      </c>
      <c r="G18" s="118">
        <f>IF(F18="","",-$D$8*LN(1-'S6-Random Number Generation'!B2))</f>
        <v>30.48636315852989</v>
      </c>
      <c r="H18" s="118">
        <f t="shared" ref="H18:H31" si="1">IF(F18="","",F18+G18)</f>
        <v>55.48636315852989</v>
      </c>
      <c r="I18" s="73" t="str">
        <f>IF(E18=2,MAX(D18,$K$16:K17),"")</f>
        <v/>
      </c>
      <c r="J18" s="118" t="str">
        <f>IF(I18="","",-$D$8*LN(1-'S6-Random Number Generation'!C2))</f>
        <v/>
      </c>
      <c r="K18" s="118" t="str">
        <f t="shared" ref="K18:K31" si="2">IF(I18="","",I18+J18)</f>
        <v/>
      </c>
      <c r="L18" s="73">
        <f>IF(F18="","",F18-MAX($H$16:H17))</f>
        <v>25</v>
      </c>
      <c r="M18" s="73" t="str">
        <f>IF(I18="","",I18-MAX($K$16:K17))</f>
        <v/>
      </c>
      <c r="N18" s="144">
        <f t="shared" ref="N18:N31" si="3">MAX(F18,I18)-D18</f>
        <v>0</v>
      </c>
    </row>
    <row r="19" spans="2:14" ht="16" x14ac:dyDescent="0.2">
      <c r="B19" s="143">
        <v>3</v>
      </c>
      <c r="C19" s="73">
        <f>VLOOKUP('S6-Random Number Generation'!A3,'S6-Poisson Distance'!$C$8:$D$83,2)</f>
        <v>20</v>
      </c>
      <c r="D19" s="73">
        <f t="shared" si="0"/>
        <v>45</v>
      </c>
      <c r="E19" s="73">
        <f>IF(MAX($H$16:H18)&lt;MAX($K$16:K18),1,2)</f>
        <v>2</v>
      </c>
      <c r="F19" s="73" t="str">
        <f>IF(E19=1,MAX(D19,$H$16:H18),"")</f>
        <v/>
      </c>
      <c r="G19" s="118" t="str">
        <f>IF(F19="","",-$D$8*LN(1-'S6-Random Number Generation'!B3))</f>
        <v/>
      </c>
      <c r="H19" s="118" t="str">
        <f t="shared" si="1"/>
        <v/>
      </c>
      <c r="I19" s="73">
        <f>IF(E19=2,MAX(D19,$K$16:K18),"")</f>
        <v>45</v>
      </c>
      <c r="J19" s="118">
        <f>IF(I19="","",-$D$8*LN(1-'S6-Random Number Generation'!C3))</f>
        <v>6.353260664777606</v>
      </c>
      <c r="K19" s="118">
        <f t="shared" si="2"/>
        <v>51.353260664777608</v>
      </c>
      <c r="L19" s="84" t="str">
        <f>IF(F19="","",F19-MAX($H$16:H18))</f>
        <v/>
      </c>
      <c r="M19" s="118">
        <f>IF(I19="","",I19-MAX($K$16:K18))</f>
        <v>28.118496036406039</v>
      </c>
      <c r="N19" s="144">
        <f t="shared" si="3"/>
        <v>0</v>
      </c>
    </row>
    <row r="20" spans="2:14" ht="16" x14ac:dyDescent="0.2">
      <c r="B20" s="143">
        <v>4</v>
      </c>
      <c r="C20" s="73">
        <f>VLOOKUP('S6-Random Number Generation'!A4,'S6-Poisson Distance'!$C$8:$D$83,2)</f>
        <v>9</v>
      </c>
      <c r="D20" s="73">
        <f t="shared" si="0"/>
        <v>54</v>
      </c>
      <c r="E20" s="73">
        <f>IF(MAX($H$16:H19)&lt;MAX($K$16:K19),1,2)</f>
        <v>2</v>
      </c>
      <c r="F20" s="73" t="str">
        <f>IF(E20=1,MAX(D20,$H$16:H19),"")</f>
        <v/>
      </c>
      <c r="G20" s="118" t="str">
        <f>IF(F20="","",-$D$8*LN(1-'S6-Random Number Generation'!B4))</f>
        <v/>
      </c>
      <c r="H20" s="118" t="str">
        <f t="shared" si="1"/>
        <v/>
      </c>
      <c r="I20" s="73">
        <f>IF(E20=2,MAX(D20,$K$16:K19),"")</f>
        <v>54</v>
      </c>
      <c r="J20" s="118">
        <f>IF(I20="","",-$D$8*LN(1-'S6-Random Number Generation'!C4))</f>
        <v>4.4843692313535541</v>
      </c>
      <c r="K20" s="118">
        <f t="shared" si="2"/>
        <v>58.484369231353554</v>
      </c>
      <c r="L20" s="84" t="str">
        <f>IF(F20="","",F20-MAX($H$16:H19))</f>
        <v/>
      </c>
      <c r="M20" s="118">
        <f>IF(I20="","",I20-MAX($K$16:K19))</f>
        <v>2.6467393352223922</v>
      </c>
      <c r="N20" s="144">
        <f t="shared" si="3"/>
        <v>0</v>
      </c>
    </row>
    <row r="21" spans="2:14" ht="16" x14ac:dyDescent="0.2">
      <c r="B21" s="143">
        <v>5</v>
      </c>
      <c r="C21" s="73">
        <f>VLOOKUP('S6-Random Number Generation'!A5,'S6-Poisson Distance'!$C$8:$D$83,2)</f>
        <v>19</v>
      </c>
      <c r="D21" s="73">
        <f t="shared" si="0"/>
        <v>73</v>
      </c>
      <c r="E21" s="73">
        <f>IF(MAX($H$16:H20)&lt;MAX($K$16:K20),1,2)</f>
        <v>1</v>
      </c>
      <c r="F21" s="73">
        <f>IF(E21=1,MAX(D21,$H$16:H20),"")</f>
        <v>73</v>
      </c>
      <c r="G21" s="118">
        <f>IF(F21="","",-$D$8*LN(1-'S6-Random Number Generation'!B5))</f>
        <v>26.008414606948492</v>
      </c>
      <c r="H21" s="118">
        <f t="shared" si="1"/>
        <v>99.008414606948492</v>
      </c>
      <c r="I21" s="73" t="str">
        <f>IF(E21=2,MAX(D21,$K$16:K20),"")</f>
        <v/>
      </c>
      <c r="J21" s="118" t="str">
        <f>IF(I21="","",-$D$8*LN(1-'S6-Random Number Generation'!C5))</f>
        <v/>
      </c>
      <c r="K21" s="118" t="str">
        <f t="shared" si="2"/>
        <v/>
      </c>
      <c r="L21" s="118">
        <f>IF(F21="","",F21-MAX($H$16:H20))</f>
        <v>17.51363684147011</v>
      </c>
      <c r="M21" s="118" t="str">
        <f>IF(I21="","",I21-MAX($K$16:K20))</f>
        <v/>
      </c>
      <c r="N21" s="144">
        <f t="shared" si="3"/>
        <v>0</v>
      </c>
    </row>
    <row r="22" spans="2:14" ht="16" x14ac:dyDescent="0.2">
      <c r="B22" s="143">
        <v>6</v>
      </c>
      <c r="C22" s="73">
        <f>VLOOKUP('S6-Random Number Generation'!A6,'S6-Poisson Distance'!$C$8:$D$83,2)</f>
        <v>14</v>
      </c>
      <c r="D22" s="73">
        <f t="shared" si="0"/>
        <v>87</v>
      </c>
      <c r="E22" s="73">
        <f>IF(MAX($H$16:H21)&lt;MAX($K$16:K21),1,2)</f>
        <v>2</v>
      </c>
      <c r="F22" s="73" t="str">
        <f>IF(E22=1,MAX(D22,$H$16:H21),"")</f>
        <v/>
      </c>
      <c r="G22" s="118" t="str">
        <f>IF(F22="","",-$D$8*LN(1-'S6-Random Number Generation'!B6))</f>
        <v/>
      </c>
      <c r="H22" s="118" t="str">
        <f t="shared" si="1"/>
        <v/>
      </c>
      <c r="I22" s="73">
        <f>IF(E22=2,MAX(D22,$K$16:K21),"")</f>
        <v>87</v>
      </c>
      <c r="J22" s="118">
        <f>IF(I22="","",-$D$8*LN(1-'S6-Random Number Generation'!C6))</f>
        <v>1.9529229289909846</v>
      </c>
      <c r="K22" s="118">
        <f t="shared" si="2"/>
        <v>88.952922928990986</v>
      </c>
      <c r="L22" s="118" t="str">
        <f>IF(F22="","",F22-MAX($H$16:H21))</f>
        <v/>
      </c>
      <c r="M22" s="118">
        <f>IF(I22="","",I22-MAX($K$16:K21))</f>
        <v>28.515630768646446</v>
      </c>
      <c r="N22" s="144">
        <f t="shared" si="3"/>
        <v>0</v>
      </c>
    </row>
    <row r="23" spans="2:14" ht="16" x14ac:dyDescent="0.2">
      <c r="B23" s="143">
        <v>7</v>
      </c>
      <c r="C23" s="73">
        <f>VLOOKUP('S6-Random Number Generation'!A7,'S6-Poisson Distance'!$C$8:$D$83,2)</f>
        <v>15</v>
      </c>
      <c r="D23" s="73">
        <f t="shared" si="0"/>
        <v>102</v>
      </c>
      <c r="E23" s="73">
        <f>IF(MAX($H$16:H22)&lt;MAX($K$16:K22),1,2)</f>
        <v>2</v>
      </c>
      <c r="F23" s="73" t="str">
        <f>IF(E23=1,MAX(D23,$H$16:H22),"")</f>
        <v/>
      </c>
      <c r="G23" s="118" t="str">
        <f>IF(F23="","",-$D$8*LN(1-'S6-Random Number Generation'!B7))</f>
        <v/>
      </c>
      <c r="H23" s="118" t="str">
        <f t="shared" si="1"/>
        <v/>
      </c>
      <c r="I23" s="73">
        <f>IF(E23=2,MAX(D23,$K$16:K22),"")</f>
        <v>102</v>
      </c>
      <c r="J23" s="118">
        <f>IF(I23="","",-$D$8*LN(1-'S6-Random Number Generation'!C7))</f>
        <v>48.510883262644001</v>
      </c>
      <c r="K23" s="118">
        <f t="shared" si="2"/>
        <v>150.510883262644</v>
      </c>
      <c r="L23" s="118" t="str">
        <f>IF(F23="","",F23-MAX($H$16:H22))</f>
        <v/>
      </c>
      <c r="M23" s="118">
        <f>IF(I23="","",I23-MAX($K$16:K22))</f>
        <v>13.047077071009014</v>
      </c>
      <c r="N23" s="144">
        <f t="shared" si="3"/>
        <v>0</v>
      </c>
    </row>
    <row r="24" spans="2:14" ht="16" x14ac:dyDescent="0.2">
      <c r="B24" s="143">
        <v>8</v>
      </c>
      <c r="C24" s="73">
        <f>VLOOKUP('S6-Random Number Generation'!A8,'S6-Poisson Distance'!$C$8:$D$83,2)</f>
        <v>18</v>
      </c>
      <c r="D24" s="73">
        <f t="shared" si="0"/>
        <v>120</v>
      </c>
      <c r="E24" s="73">
        <f>IF(MAX($H$16:H23)&lt;MAX($K$16:K23),1,2)</f>
        <v>1</v>
      </c>
      <c r="F24" s="73">
        <f>IF(E24=1,MAX(D24,$H$16:H23),"")</f>
        <v>120</v>
      </c>
      <c r="G24" s="118">
        <f>IF(F24="","",-$D$8*LN(1-'S6-Random Number Generation'!B8))</f>
        <v>31.792845675005044</v>
      </c>
      <c r="H24" s="118">
        <f t="shared" si="1"/>
        <v>151.79284567500505</v>
      </c>
      <c r="I24" s="73" t="str">
        <f>IF(E24=2,MAX(D24,$K$16:K23),"")</f>
        <v/>
      </c>
      <c r="J24" s="118" t="str">
        <f>IF(I24="","",-$D$8*LN(1-'S6-Random Number Generation'!C8))</f>
        <v/>
      </c>
      <c r="K24" s="118" t="str">
        <f t="shared" si="2"/>
        <v/>
      </c>
      <c r="L24" s="118">
        <f>IF(F24="","",F24-MAX($H$16:H23))</f>
        <v>20.991585393051508</v>
      </c>
      <c r="M24" s="84" t="str">
        <f>IF(I24="","",I24-MAX($K$16:K23))</f>
        <v/>
      </c>
      <c r="N24" s="144">
        <f t="shared" si="3"/>
        <v>0</v>
      </c>
    </row>
    <row r="25" spans="2:14" ht="16" x14ac:dyDescent="0.2">
      <c r="B25" s="143">
        <v>9</v>
      </c>
      <c r="C25" s="73">
        <f>VLOOKUP('S6-Random Number Generation'!A9,'S6-Poisson Distance'!$C$8:$D$83,2)</f>
        <v>15</v>
      </c>
      <c r="D25" s="73">
        <f t="shared" si="0"/>
        <v>135</v>
      </c>
      <c r="E25" s="73">
        <f>IF(MAX($H$16:H24)&lt;MAX($K$16:K24),1,2)</f>
        <v>2</v>
      </c>
      <c r="F25" s="73" t="str">
        <f>IF(E25=1,MAX(D25,$H$16:H24),"")</f>
        <v/>
      </c>
      <c r="G25" s="118" t="str">
        <f>IF(F25="","",-$D$8*LN(1-'S6-Random Number Generation'!B9))</f>
        <v/>
      </c>
      <c r="H25" s="118" t="str">
        <f t="shared" si="1"/>
        <v/>
      </c>
      <c r="I25" s="118">
        <f>IF(E25=2,MAX(D25,$K$16:K24),"")</f>
        <v>150.510883262644</v>
      </c>
      <c r="J25" s="118">
        <f>IF(I25="","",-$D$8*LN(1-'S6-Random Number Generation'!C9))</f>
        <v>82.455714965154499</v>
      </c>
      <c r="K25" s="118">
        <f t="shared" si="2"/>
        <v>232.9665982277985</v>
      </c>
      <c r="L25" s="118" t="str">
        <f>IF(F25="","",F25-MAX($H$16:H24))</f>
        <v/>
      </c>
      <c r="M25" s="73">
        <f>IF(I25="","",I25-MAX($K$16:K24))</f>
        <v>0</v>
      </c>
      <c r="N25" s="119">
        <f t="shared" si="3"/>
        <v>15.510883262644001</v>
      </c>
    </row>
    <row r="26" spans="2:14" ht="16" x14ac:dyDescent="0.2">
      <c r="B26" s="143">
        <v>10</v>
      </c>
      <c r="C26" s="73">
        <f>VLOOKUP('S6-Random Number Generation'!A10,'S6-Poisson Distance'!$C$8:$D$83,2)</f>
        <v>17</v>
      </c>
      <c r="D26" s="73">
        <f t="shared" si="0"/>
        <v>152</v>
      </c>
      <c r="E26" s="73">
        <f>IF(MAX($H$16:H25)&lt;MAX($K$16:K25),1,2)</f>
        <v>1</v>
      </c>
      <c r="F26" s="73">
        <f>IF(E26=1,MAX(D26,$H$16:H25),"")</f>
        <v>152</v>
      </c>
      <c r="G26" s="118">
        <f>IF(F26="","",-$D$8*LN(1-'S6-Random Number Generation'!B10))</f>
        <v>36.432554967822043</v>
      </c>
      <c r="H26" s="118">
        <f t="shared" si="1"/>
        <v>188.43255496782206</v>
      </c>
      <c r="I26" s="118" t="str">
        <f>IF(E26=2,MAX(D26,$K$16:K25),"")</f>
        <v/>
      </c>
      <c r="J26" s="118" t="str">
        <f>IF(I26="","",-$D$8*LN(1-'S6-Random Number Generation'!C10))</f>
        <v/>
      </c>
      <c r="K26" s="118" t="str">
        <f t="shared" si="2"/>
        <v/>
      </c>
      <c r="L26" s="118">
        <f>IF(F26="","",F26-MAX($H$16:H25))</f>
        <v>0.20715432499494568</v>
      </c>
      <c r="M26" s="73" t="str">
        <f>IF(I26="","",I26-MAX($K$16:K25))</f>
        <v/>
      </c>
      <c r="N26" s="144">
        <f t="shared" si="3"/>
        <v>0</v>
      </c>
    </row>
    <row r="27" spans="2:14" ht="16" x14ac:dyDescent="0.2">
      <c r="B27" s="143">
        <v>11</v>
      </c>
      <c r="C27" s="73">
        <f>VLOOKUP('S6-Random Number Generation'!A11,'S6-Poisson Distance'!$C$8:$D$83,2)</f>
        <v>13</v>
      </c>
      <c r="D27" s="73">
        <f t="shared" si="0"/>
        <v>165</v>
      </c>
      <c r="E27" s="73">
        <f>IF(MAX($H$16:H26)&lt;MAX($K$16:K26),1,2)</f>
        <v>1</v>
      </c>
      <c r="F27" s="118">
        <f>IF(E27=1,MAX(D27,$H$16:H26),"")</f>
        <v>188.43255496782206</v>
      </c>
      <c r="G27" s="118">
        <f>IF(F27="","",-$D$8*LN(1-'S6-Random Number Generation'!B11))</f>
        <v>10.985395693953738</v>
      </c>
      <c r="H27" s="118">
        <f t="shared" si="1"/>
        <v>199.41795066177579</v>
      </c>
      <c r="I27" s="118" t="str">
        <f>IF(E27=2,MAX(D27,$K$16:K26),"")</f>
        <v/>
      </c>
      <c r="J27" s="118" t="str">
        <f>IF(I27="","",-$D$8*LN(1-'S6-Random Number Generation'!C11))</f>
        <v/>
      </c>
      <c r="K27" s="118" t="str">
        <f t="shared" si="2"/>
        <v/>
      </c>
      <c r="L27" s="73">
        <f>IF(F27="","",F27-MAX($H$16:H26))</f>
        <v>0</v>
      </c>
      <c r="M27" s="73" t="str">
        <f>IF(I27="","",I27-MAX($K$16:K26))</f>
        <v/>
      </c>
      <c r="N27" s="119">
        <f t="shared" si="3"/>
        <v>23.432554967822057</v>
      </c>
    </row>
    <row r="28" spans="2:14" ht="16" x14ac:dyDescent="0.2">
      <c r="B28" s="143">
        <v>12</v>
      </c>
      <c r="C28" s="73">
        <f>VLOOKUP('S6-Random Number Generation'!A12,'S6-Poisson Distance'!$C$8:$D$83,2)</f>
        <v>9</v>
      </c>
      <c r="D28" s="73">
        <f t="shared" si="0"/>
        <v>174</v>
      </c>
      <c r="E28" s="73">
        <f>IF(MAX($H$16:H27)&lt;MAX($K$16:K27),1,2)</f>
        <v>1</v>
      </c>
      <c r="F28" s="118">
        <f>IF(E28=1,MAX(D28,$H$16:H27),"")</f>
        <v>199.41795066177579</v>
      </c>
      <c r="G28" s="118">
        <f>IF(F28="","",-$D$8*LN(1-'S6-Random Number Generation'!B12))</f>
        <v>39.955574223597843</v>
      </c>
      <c r="H28" s="118">
        <f t="shared" si="1"/>
        <v>239.37352488537363</v>
      </c>
      <c r="I28" s="118" t="str">
        <f>IF(E28=2,MAX(D28,$K$16:K27),"")</f>
        <v/>
      </c>
      <c r="J28" s="118" t="str">
        <f>IF(I28="","",-$D$8*LN(1-'S6-Random Number Generation'!C12))</f>
        <v/>
      </c>
      <c r="K28" s="118" t="str">
        <f t="shared" si="2"/>
        <v/>
      </c>
      <c r="L28" s="73">
        <f>IF(F28="","",F28-MAX($H$16:H27))</f>
        <v>0</v>
      </c>
      <c r="M28" s="73" t="str">
        <f>IF(I28="","",I28-MAX($K$16:K27))</f>
        <v/>
      </c>
      <c r="N28" s="119">
        <f t="shared" si="3"/>
        <v>25.417950661775791</v>
      </c>
    </row>
    <row r="29" spans="2:14" ht="16" x14ac:dyDescent="0.2">
      <c r="B29" s="143">
        <v>13</v>
      </c>
      <c r="C29" s="73">
        <f>VLOOKUP('S6-Random Number Generation'!A13,'S6-Poisson Distance'!$C$8:$D$83,2)</f>
        <v>14</v>
      </c>
      <c r="D29" s="73">
        <f t="shared" si="0"/>
        <v>188</v>
      </c>
      <c r="E29" s="73">
        <f>IF(MAX($H$16:H28)&lt;MAX($K$16:K28),1,2)</f>
        <v>2</v>
      </c>
      <c r="F29" s="118" t="str">
        <f>IF(E29=1,MAX(D29,$H$16:H28),"")</f>
        <v/>
      </c>
      <c r="G29" s="118" t="str">
        <f>IF(F29="","",-$D$8*LN(1-'S6-Random Number Generation'!B13))</f>
        <v/>
      </c>
      <c r="H29" s="118" t="str">
        <f t="shared" si="1"/>
        <v/>
      </c>
      <c r="I29" s="118">
        <f>IF(E29=2,MAX(D29,$K$16:K28),"")</f>
        <v>232.9665982277985</v>
      </c>
      <c r="J29" s="118">
        <f>IF(I29="","",-$D$8*LN(1-'S6-Random Number Generation'!C13))</f>
        <v>11.683572711884054</v>
      </c>
      <c r="K29" s="118">
        <f t="shared" si="2"/>
        <v>244.65017093968254</v>
      </c>
      <c r="L29" s="73" t="str">
        <f>IF(F29="","",F29-MAX($H$16:H28))</f>
        <v/>
      </c>
      <c r="M29" s="73">
        <f>IF(I29="","",I29-MAX($K$16:K28))</f>
        <v>0</v>
      </c>
      <c r="N29" s="119">
        <f t="shared" si="3"/>
        <v>44.966598227798499</v>
      </c>
    </row>
    <row r="30" spans="2:14" ht="16" x14ac:dyDescent="0.2">
      <c r="B30" s="143">
        <v>14</v>
      </c>
      <c r="C30" s="73">
        <f>VLOOKUP('S6-Random Number Generation'!A14,'S6-Poisson Distance'!$C$8:$D$83,2)</f>
        <v>8</v>
      </c>
      <c r="D30" s="73">
        <f t="shared" si="0"/>
        <v>196</v>
      </c>
      <c r="E30" s="73">
        <f>IF(MAX($H$16:H29)&lt;MAX($K$16:K29),1,2)</f>
        <v>1</v>
      </c>
      <c r="F30" s="118">
        <f>IF(E30=1,MAX(D30,$H$16:H29),"")</f>
        <v>239.37352488537363</v>
      </c>
      <c r="G30" s="118">
        <f>IF(F30="","",-$D$8*LN(1-'S6-Random Number Generation'!B14))</f>
        <v>43.527252310806197</v>
      </c>
      <c r="H30" s="118">
        <f t="shared" si="1"/>
        <v>282.90077719617983</v>
      </c>
      <c r="I30" s="118" t="str">
        <f>IF(E30=2,MAX(D30,$K$16:K29),"")</f>
        <v/>
      </c>
      <c r="J30" s="118" t="str">
        <f>IF(I30="","",-$D$8*LN(1-'S6-Random Number Generation'!C14))</f>
        <v/>
      </c>
      <c r="K30" s="118" t="str">
        <f t="shared" si="2"/>
        <v/>
      </c>
      <c r="L30" s="73">
        <f>IF(F30="","",F30-MAX($H$16:H29))</f>
        <v>0</v>
      </c>
      <c r="M30" s="73" t="str">
        <f>IF(I30="","",I30-MAX($K$16:K29))</f>
        <v/>
      </c>
      <c r="N30" s="119">
        <f t="shared" si="3"/>
        <v>43.373524885373627</v>
      </c>
    </row>
    <row r="31" spans="2:14" ht="17" thickBot="1" x14ac:dyDescent="0.25">
      <c r="B31" s="145">
        <v>15</v>
      </c>
      <c r="C31" s="76">
        <f>VLOOKUP('S6-Random Number Generation'!A15,'S6-Poisson Distance'!$C$8:$D$83,2)</f>
        <v>10</v>
      </c>
      <c r="D31" s="76">
        <f t="shared" si="0"/>
        <v>206</v>
      </c>
      <c r="E31" s="76">
        <f>IF(MAX($H$16:H30)&lt;MAX($K$16:K30),1,2)</f>
        <v>2</v>
      </c>
      <c r="F31" s="76" t="str">
        <f>IF(E31=1,MAX(D31,$H$16:H30),"")</f>
        <v/>
      </c>
      <c r="G31" s="76" t="str">
        <f>IF(F31="","",-$D$8*LN(1-'S6-Random Number Generation'!B15))</f>
        <v/>
      </c>
      <c r="H31" s="76" t="str">
        <f t="shared" si="1"/>
        <v/>
      </c>
      <c r="I31" s="120">
        <f>IF(E31=2,MAX(D31,$K$16:K30),"")</f>
        <v>244.65017093968254</v>
      </c>
      <c r="J31" s="120">
        <f>IF(I31="","",-$D$8*LN(1-'S6-Random Number Generation'!C15))</f>
        <v>3.5083844496844456</v>
      </c>
      <c r="K31" s="120">
        <f t="shared" si="2"/>
        <v>248.158555389367</v>
      </c>
      <c r="L31" s="76" t="str">
        <f>IF(F31="","",F31-MAX($H$16:H30))</f>
        <v/>
      </c>
      <c r="M31" s="76">
        <f>IF(I31="","",I31-MAX($K$16:K30))</f>
        <v>0</v>
      </c>
      <c r="N31" s="121">
        <f t="shared" si="3"/>
        <v>38.650170939682539</v>
      </c>
    </row>
  </sheetData>
  <mergeCells count="7">
    <mergeCell ref="B14:E14"/>
    <mergeCell ref="F14:H14"/>
    <mergeCell ref="I14:K14"/>
    <mergeCell ref="L14:N14"/>
    <mergeCell ref="F3:G3"/>
    <mergeCell ref="I3:J3"/>
    <mergeCell ref="I7:J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2964-93B7-6144-8B45-7C1F2C47628C}">
  <sheetPr>
    <tabColor theme="5" tint="0.59999389629810485"/>
  </sheetPr>
  <dimension ref="A1:I16"/>
  <sheetViews>
    <sheetView zoomScaleNormal="100" workbookViewId="0">
      <selection activeCell="H30" sqref="H30"/>
    </sheetView>
  </sheetViews>
  <sheetFormatPr baseColWidth="10" defaultRowHeight="15" x14ac:dyDescent="0.2"/>
  <cols>
    <col min="1" max="4" width="10.83203125" style="4"/>
    <col min="5" max="5" width="17.83203125" style="4" customWidth="1"/>
    <col min="6" max="6" width="20.1640625" style="4" customWidth="1"/>
    <col min="7" max="7" width="20.6640625" style="4" customWidth="1"/>
    <col min="8" max="8" width="19.33203125" style="4" customWidth="1"/>
    <col min="9" max="9" width="18.33203125" style="4" customWidth="1"/>
    <col min="10" max="16384" width="10.83203125" style="4"/>
  </cols>
  <sheetData>
    <row r="1" spans="1:9" ht="17" thickBot="1" x14ac:dyDescent="0.25">
      <c r="A1" s="305"/>
      <c r="B1" s="306"/>
      <c r="C1" s="306"/>
      <c r="D1" s="307"/>
      <c r="E1" s="111" t="s">
        <v>114</v>
      </c>
      <c r="F1" s="111" t="s">
        <v>174</v>
      </c>
      <c r="G1" s="111" t="s">
        <v>175</v>
      </c>
      <c r="H1" s="111" t="s">
        <v>176</v>
      </c>
      <c r="I1" s="112" t="s">
        <v>177</v>
      </c>
    </row>
    <row r="2" spans="1:9" ht="16" x14ac:dyDescent="0.2">
      <c r="A2" s="143">
        <v>1</v>
      </c>
      <c r="B2" s="73">
        <f>'S6-Final Solution'!C17</f>
        <v>8</v>
      </c>
      <c r="C2" s="73">
        <f>B2</f>
        <v>8</v>
      </c>
      <c r="D2" s="93">
        <f>C2-H2-I2</f>
        <v>0</v>
      </c>
      <c r="E2" s="93">
        <f>'S6-Final Solution'!N17</f>
        <v>0</v>
      </c>
      <c r="F2" s="73" t="str">
        <f>'S6-Final Solution'!G17</f>
        <v/>
      </c>
      <c r="G2" s="84">
        <f>'S6-Final Solution'!J17</f>
        <v>8.8815039635939605</v>
      </c>
      <c r="H2" s="73">
        <v>0</v>
      </c>
      <c r="I2" s="144">
        <f>'S6-Final Solution'!M17</f>
        <v>8</v>
      </c>
    </row>
    <row r="3" spans="1:9" ht="16" x14ac:dyDescent="0.2">
      <c r="A3" s="143">
        <v>2</v>
      </c>
      <c r="B3" s="73">
        <f>'S6-Final Solution'!C18</f>
        <v>17</v>
      </c>
      <c r="C3" s="73">
        <f>SUM(C2,B3)</f>
        <v>25</v>
      </c>
      <c r="D3" s="93">
        <f t="shared" ref="D3:D16" si="0">C3-H3-I3</f>
        <v>0</v>
      </c>
      <c r="E3" s="93">
        <f>'S6-Final Solution'!N18</f>
        <v>0</v>
      </c>
      <c r="F3" s="84">
        <f>'S6-Final Solution'!G18</f>
        <v>30.48636315852989</v>
      </c>
      <c r="G3" s="118" t="str">
        <f>'S6-Final Solution'!J18</f>
        <v/>
      </c>
      <c r="H3" s="73">
        <f>'S6-Final Solution'!L18</f>
        <v>25</v>
      </c>
      <c r="I3" s="144">
        <v>0</v>
      </c>
    </row>
    <row r="4" spans="1:9" ht="16" x14ac:dyDescent="0.2">
      <c r="A4" s="143">
        <v>3</v>
      </c>
      <c r="B4" s="73">
        <f>'S6-Final Solution'!C19</f>
        <v>20</v>
      </c>
      <c r="C4" s="73">
        <f t="shared" ref="C4:C16" si="1">SUM(C3,B4)</f>
        <v>45</v>
      </c>
      <c r="D4" s="93">
        <f t="shared" si="0"/>
        <v>16.881503963593961</v>
      </c>
      <c r="E4" s="93">
        <f>'S6-Final Solution'!N19</f>
        <v>0</v>
      </c>
      <c r="F4" s="73" t="str">
        <f>'S6-Final Solution'!G19</f>
        <v/>
      </c>
      <c r="G4" s="84">
        <f>'S6-Final Solution'!J19</f>
        <v>6.353260664777606</v>
      </c>
      <c r="H4" s="73">
        <v>0</v>
      </c>
      <c r="I4" s="243">
        <f>'S6-Final Solution'!M19</f>
        <v>28.118496036406039</v>
      </c>
    </row>
    <row r="5" spans="1:9" ht="16" x14ac:dyDescent="0.2">
      <c r="A5" s="143">
        <v>4</v>
      </c>
      <c r="B5" s="73">
        <f>'S6-Final Solution'!C20</f>
        <v>9</v>
      </c>
      <c r="C5" s="73">
        <f t="shared" si="1"/>
        <v>54</v>
      </c>
      <c r="D5" s="93">
        <f t="shared" si="0"/>
        <v>51.353260664777608</v>
      </c>
      <c r="E5" s="93">
        <f>'S6-Final Solution'!N20</f>
        <v>0</v>
      </c>
      <c r="F5" s="73" t="str">
        <f>'S6-Final Solution'!G20</f>
        <v/>
      </c>
      <c r="G5" s="84">
        <f>'S6-Final Solution'!J20</f>
        <v>4.4843692313535541</v>
      </c>
      <c r="H5" s="73">
        <v>0</v>
      </c>
      <c r="I5" s="243">
        <f>'S6-Final Solution'!M20</f>
        <v>2.6467393352223922</v>
      </c>
    </row>
    <row r="6" spans="1:9" ht="16" x14ac:dyDescent="0.2">
      <c r="A6" s="143">
        <v>5</v>
      </c>
      <c r="B6" s="73">
        <f>'S6-Final Solution'!C21</f>
        <v>19</v>
      </c>
      <c r="C6" s="73">
        <f t="shared" si="1"/>
        <v>73</v>
      </c>
      <c r="D6" s="93">
        <f t="shared" si="0"/>
        <v>55.48636315852989</v>
      </c>
      <c r="E6" s="93">
        <f>'S6-Final Solution'!N21</f>
        <v>0</v>
      </c>
      <c r="F6" s="84">
        <f>'S6-Final Solution'!G21</f>
        <v>26.008414606948492</v>
      </c>
      <c r="G6" s="118" t="str">
        <f>'S6-Final Solution'!J21</f>
        <v/>
      </c>
      <c r="H6" s="84">
        <f>'S6-Final Solution'!L21</f>
        <v>17.51363684147011</v>
      </c>
      <c r="I6" s="144">
        <v>0</v>
      </c>
    </row>
    <row r="7" spans="1:9" ht="16" x14ac:dyDescent="0.2">
      <c r="A7" s="143">
        <v>6</v>
      </c>
      <c r="B7" s="73">
        <f>'S6-Final Solution'!C22</f>
        <v>14</v>
      </c>
      <c r="C7" s="73">
        <f t="shared" si="1"/>
        <v>87</v>
      </c>
      <c r="D7" s="93">
        <f t="shared" si="0"/>
        <v>58.484369231353554</v>
      </c>
      <c r="E7" s="93">
        <f>'S6-Final Solution'!N22</f>
        <v>0</v>
      </c>
      <c r="F7" s="73" t="str">
        <f>'S6-Final Solution'!G22</f>
        <v/>
      </c>
      <c r="G7" s="84">
        <f>'S6-Final Solution'!J22</f>
        <v>1.9529229289909846</v>
      </c>
      <c r="H7" s="73">
        <v>0</v>
      </c>
      <c r="I7" s="243">
        <f>'S6-Final Solution'!M22</f>
        <v>28.515630768646446</v>
      </c>
    </row>
    <row r="8" spans="1:9" ht="16" x14ac:dyDescent="0.2">
      <c r="A8" s="143">
        <v>7</v>
      </c>
      <c r="B8" s="73">
        <f>'S6-Final Solution'!C23</f>
        <v>15</v>
      </c>
      <c r="C8" s="73">
        <f t="shared" si="1"/>
        <v>102</v>
      </c>
      <c r="D8" s="93">
        <f t="shared" si="0"/>
        <v>88.952922928990986</v>
      </c>
      <c r="E8" s="93">
        <f>'S6-Final Solution'!N23</f>
        <v>0</v>
      </c>
      <c r="F8" s="73" t="str">
        <f>'S6-Final Solution'!G23</f>
        <v/>
      </c>
      <c r="G8" s="84">
        <f>'S6-Final Solution'!J23</f>
        <v>48.510883262644001</v>
      </c>
      <c r="H8" s="73">
        <v>0</v>
      </c>
      <c r="I8" s="243">
        <f>'S6-Final Solution'!M23</f>
        <v>13.047077071009014</v>
      </c>
    </row>
    <row r="9" spans="1:9" ht="16" x14ac:dyDescent="0.2">
      <c r="A9" s="143">
        <v>8</v>
      </c>
      <c r="B9" s="73">
        <f>'S6-Final Solution'!C24</f>
        <v>18</v>
      </c>
      <c r="C9" s="73">
        <f t="shared" si="1"/>
        <v>120</v>
      </c>
      <c r="D9" s="93">
        <f t="shared" si="0"/>
        <v>99.008414606948492</v>
      </c>
      <c r="E9" s="93">
        <f>'S6-Final Solution'!N24</f>
        <v>0</v>
      </c>
      <c r="F9" s="84">
        <f>'S6-Final Solution'!G24</f>
        <v>31.792845675005044</v>
      </c>
      <c r="G9" s="118" t="str">
        <f>'S6-Final Solution'!J24</f>
        <v/>
      </c>
      <c r="H9" s="84">
        <f>'S6-Final Solution'!L24</f>
        <v>20.991585393051508</v>
      </c>
      <c r="I9" s="144">
        <v>0</v>
      </c>
    </row>
    <row r="10" spans="1:9" ht="16" x14ac:dyDescent="0.2">
      <c r="A10" s="143">
        <v>9</v>
      </c>
      <c r="B10" s="73">
        <f>'S6-Final Solution'!C25</f>
        <v>15</v>
      </c>
      <c r="C10" s="73">
        <f t="shared" si="1"/>
        <v>135</v>
      </c>
      <c r="D10" s="93">
        <f t="shared" si="0"/>
        <v>135</v>
      </c>
      <c r="E10" s="84">
        <f>'S6-Final Solution'!N25</f>
        <v>15.510883262644001</v>
      </c>
      <c r="F10" s="73" t="str">
        <f>'S6-Final Solution'!G25</f>
        <v/>
      </c>
      <c r="G10" s="84">
        <f>'S6-Final Solution'!J25</f>
        <v>82.455714965154499</v>
      </c>
      <c r="H10" s="73">
        <v>0</v>
      </c>
      <c r="I10" s="144">
        <f>'S6-Final Solution'!M25</f>
        <v>0</v>
      </c>
    </row>
    <row r="11" spans="1:9" ht="16" x14ac:dyDescent="0.2">
      <c r="A11" s="143">
        <v>10</v>
      </c>
      <c r="B11" s="73">
        <f>'S6-Final Solution'!C26</f>
        <v>17</v>
      </c>
      <c r="C11" s="73">
        <f t="shared" si="1"/>
        <v>152</v>
      </c>
      <c r="D11" s="93">
        <f t="shared" si="0"/>
        <v>151.79284567500505</v>
      </c>
      <c r="E11" s="93">
        <f>'S6-Final Solution'!N26</f>
        <v>0</v>
      </c>
      <c r="F11" s="84">
        <f>'S6-Final Solution'!G26</f>
        <v>36.432554967822043</v>
      </c>
      <c r="G11" s="118" t="str">
        <f>'S6-Final Solution'!J26</f>
        <v/>
      </c>
      <c r="H11" s="84">
        <f>'S6-Final Solution'!L26</f>
        <v>0.20715432499494568</v>
      </c>
      <c r="I11" s="144">
        <v>0</v>
      </c>
    </row>
    <row r="12" spans="1:9" ht="16" x14ac:dyDescent="0.2">
      <c r="A12" s="143">
        <v>11</v>
      </c>
      <c r="B12" s="73">
        <f>'S6-Final Solution'!C27</f>
        <v>13</v>
      </c>
      <c r="C12" s="73">
        <f t="shared" si="1"/>
        <v>165</v>
      </c>
      <c r="D12" s="93">
        <f t="shared" si="0"/>
        <v>165</v>
      </c>
      <c r="E12" s="84">
        <f>'S6-Final Solution'!N27</f>
        <v>23.432554967822057</v>
      </c>
      <c r="F12" s="84">
        <f>'S6-Final Solution'!G27</f>
        <v>10.985395693953738</v>
      </c>
      <c r="G12" s="118" t="str">
        <f>'S6-Final Solution'!J27</f>
        <v/>
      </c>
      <c r="H12" s="73">
        <f>'S6-Final Solution'!L27</f>
        <v>0</v>
      </c>
      <c r="I12" s="144">
        <v>0</v>
      </c>
    </row>
    <row r="13" spans="1:9" ht="16" x14ac:dyDescent="0.2">
      <c r="A13" s="143">
        <v>12</v>
      </c>
      <c r="B13" s="73">
        <f>'S6-Final Solution'!C28</f>
        <v>9</v>
      </c>
      <c r="C13" s="73">
        <f t="shared" si="1"/>
        <v>174</v>
      </c>
      <c r="D13" s="93">
        <f t="shared" si="0"/>
        <v>174</v>
      </c>
      <c r="E13" s="84">
        <f>'S6-Final Solution'!N28</f>
        <v>25.417950661775791</v>
      </c>
      <c r="F13" s="84">
        <f>'S6-Final Solution'!G28</f>
        <v>39.955574223597843</v>
      </c>
      <c r="G13" s="118" t="str">
        <f>'S6-Final Solution'!J28</f>
        <v/>
      </c>
      <c r="H13" s="73">
        <f>'S6-Final Solution'!L28</f>
        <v>0</v>
      </c>
      <c r="I13" s="144">
        <v>0</v>
      </c>
    </row>
    <row r="14" spans="1:9" ht="16" x14ac:dyDescent="0.2">
      <c r="A14" s="143">
        <v>13</v>
      </c>
      <c r="B14" s="73">
        <f>'S6-Final Solution'!C29</f>
        <v>14</v>
      </c>
      <c r="C14" s="73">
        <f t="shared" si="1"/>
        <v>188</v>
      </c>
      <c r="D14" s="93">
        <f t="shared" si="0"/>
        <v>188</v>
      </c>
      <c r="E14" s="84">
        <f>'S6-Final Solution'!N29</f>
        <v>44.966598227798499</v>
      </c>
      <c r="F14" s="73" t="str">
        <f>'S6-Final Solution'!G29</f>
        <v/>
      </c>
      <c r="G14" s="84">
        <f>'S6-Final Solution'!J29</f>
        <v>11.683572711884054</v>
      </c>
      <c r="H14" s="73">
        <v>0</v>
      </c>
      <c r="I14" s="144">
        <f>'S6-Final Solution'!M29</f>
        <v>0</v>
      </c>
    </row>
    <row r="15" spans="1:9" ht="16" x14ac:dyDescent="0.2">
      <c r="A15" s="143">
        <v>14</v>
      </c>
      <c r="B15" s="73">
        <f>'S6-Final Solution'!C30</f>
        <v>8</v>
      </c>
      <c r="C15" s="73">
        <f t="shared" si="1"/>
        <v>196</v>
      </c>
      <c r="D15" s="93">
        <f t="shared" si="0"/>
        <v>196</v>
      </c>
      <c r="E15" s="84">
        <f>'S6-Final Solution'!N30</f>
        <v>43.373524885373627</v>
      </c>
      <c r="F15" s="84">
        <f>'S6-Final Solution'!G30</f>
        <v>43.527252310806197</v>
      </c>
      <c r="G15" s="118" t="str">
        <f>'S6-Final Solution'!J30</f>
        <v/>
      </c>
      <c r="H15" s="73">
        <f>'S6-Final Solution'!L30</f>
        <v>0</v>
      </c>
      <c r="I15" s="144">
        <v>0</v>
      </c>
    </row>
    <row r="16" spans="1:9" ht="17" thickBot="1" x14ac:dyDescent="0.25">
      <c r="A16" s="145">
        <v>15</v>
      </c>
      <c r="B16" s="76">
        <f>'S6-Final Solution'!C31</f>
        <v>10</v>
      </c>
      <c r="C16" s="76">
        <f t="shared" si="1"/>
        <v>206</v>
      </c>
      <c r="D16" s="94">
        <f t="shared" si="0"/>
        <v>206</v>
      </c>
      <c r="E16" s="85">
        <f>'S6-Final Solution'!N31</f>
        <v>38.650170939682539</v>
      </c>
      <c r="F16" s="76" t="str">
        <f>'S6-Final Solution'!G31</f>
        <v/>
      </c>
      <c r="G16" s="85">
        <f>'S6-Final Solution'!J31</f>
        <v>3.5083844496844456</v>
      </c>
      <c r="H16" s="76">
        <v>0</v>
      </c>
      <c r="I16" s="146">
        <f>'S6-Final Solution'!M31</f>
        <v>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S2-Central Moving Average</vt:lpstr>
      <vt:lpstr>S2-Removing Trend</vt:lpstr>
      <vt:lpstr>S2-Seasonality Identification</vt:lpstr>
      <vt:lpstr>S2-Estimated Seasonal Pattern</vt:lpstr>
      <vt:lpstr>S2-Noise and Irregularities</vt:lpstr>
      <vt:lpstr>S2-Time Series Components</vt:lpstr>
      <vt:lpstr>S3-Seasonal Naive</vt:lpstr>
      <vt:lpstr>S3-Seasonal Average</vt:lpstr>
      <vt:lpstr>S3-Seasonal Exp. Smoothing</vt:lpstr>
      <vt:lpstr>S3-Comparison of Errors</vt:lpstr>
      <vt:lpstr>S4-Random Number Generation</vt:lpstr>
      <vt:lpstr>S4-Inventory Simulation</vt:lpstr>
      <vt:lpstr>S4-Inventory Simulation (w EOQ)</vt:lpstr>
      <vt:lpstr>S5-Linear Programming</vt:lpstr>
      <vt:lpstr>S5-LP Answer Report</vt:lpstr>
      <vt:lpstr>S6-Poisson Distance</vt:lpstr>
      <vt:lpstr>S6-Random Number Generation</vt:lpstr>
      <vt:lpstr>S6-Final Solution</vt:lpstr>
      <vt:lpstr>S6-Final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Barrow (Management)</dc:creator>
  <cp:lastModifiedBy>Sultan Zaarif (MSc Business Analytics FT)</cp:lastModifiedBy>
  <dcterms:created xsi:type="dcterms:W3CDTF">2023-12-15T13:05:33Z</dcterms:created>
  <dcterms:modified xsi:type="dcterms:W3CDTF">2025-05-08T10:13:12Z</dcterms:modified>
</cp:coreProperties>
</file>