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22725" yWindow="465" windowWidth="24120" windowHeight="196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1" l="1"/>
  <c r="O5" i="1"/>
  <c r="K39" i="1"/>
  <c r="O8" i="1"/>
  <c r="B72" i="1"/>
  <c r="B73" i="1"/>
  <c r="B74" i="1"/>
  <c r="K62" i="1"/>
  <c r="K61" i="1"/>
  <c r="K58" i="1"/>
  <c r="K57" i="1"/>
  <c r="K54" i="1"/>
  <c r="K53" i="1"/>
  <c r="O6" i="1"/>
  <c r="O7" i="1"/>
  <c r="K38" i="1"/>
  <c r="K55" i="1"/>
  <c r="K65" i="1"/>
  <c r="K34" i="1"/>
  <c r="K33" i="1"/>
  <c r="B63" i="1"/>
  <c r="D5" i="1"/>
  <c r="D7" i="1"/>
  <c r="B64" i="1"/>
  <c r="B57" i="1"/>
  <c r="B65" i="1"/>
  <c r="B38" i="1"/>
  <c r="B40" i="1"/>
  <c r="B41" i="1"/>
  <c r="B66" i="1"/>
  <c r="B67" i="1"/>
  <c r="B68" i="1"/>
  <c r="B54" i="1"/>
  <c r="E48" i="1"/>
  <c r="C48" i="1"/>
  <c r="D48" i="1"/>
  <c r="B42" i="1"/>
  <c r="B44" i="1"/>
  <c r="B45" i="1"/>
  <c r="B70" i="1"/>
  <c r="B27" i="1"/>
  <c r="B26" i="1"/>
  <c r="D6" i="1"/>
  <c r="B4" i="1"/>
</calcChain>
</file>

<file path=xl/sharedStrings.xml><?xml version="1.0" encoding="utf-8"?>
<sst xmlns="http://schemas.openxmlformats.org/spreadsheetml/2006/main" count="139" uniqueCount="127">
  <si>
    <t>Constants</t>
    <phoneticPr fontId="0" type="noConversion"/>
  </si>
  <si>
    <t>G</t>
  </si>
  <si>
    <t>Nm2/kg2</t>
  </si>
  <si>
    <t>Year</t>
  </si>
  <si>
    <t>s</t>
  </si>
  <si>
    <t>Day</t>
  </si>
  <si>
    <t>c</t>
  </si>
  <si>
    <t>m/s</t>
  </si>
  <si>
    <t>H0</t>
    <phoneticPr fontId="0" type="noConversion"/>
  </si>
  <si>
    <t>km/s/Mpc</t>
    <phoneticPr fontId="0" type="noConversion"/>
  </si>
  <si>
    <t>m/s/Mpc</t>
    <phoneticPr fontId="0" type="noConversion"/>
  </si>
  <si>
    <t>m_e</t>
    <phoneticPr fontId="0" type="noConversion"/>
  </si>
  <si>
    <t>kg</t>
    <phoneticPr fontId="0" type="noConversion"/>
  </si>
  <si>
    <t>m_H</t>
    <phoneticPr fontId="0" type="noConversion"/>
  </si>
  <si>
    <t>kg</t>
    <phoneticPr fontId="0" type="noConversion"/>
  </si>
  <si>
    <t>E1_H</t>
  </si>
  <si>
    <t>eV/K</t>
  </si>
  <si>
    <t>Planck, h</t>
  </si>
  <si>
    <t>Js</t>
  </si>
  <si>
    <t>Boltzmann, k</t>
  </si>
  <si>
    <t>J/K</t>
  </si>
  <si>
    <t>eV/K</t>
    <phoneticPr fontId="0" type="noConversion"/>
  </si>
  <si>
    <t>Stefan-Boltz</t>
  </si>
  <si>
    <t>Wm-2K-4</t>
  </si>
  <si>
    <t>AU convert</t>
  </si>
  <si>
    <t>m</t>
  </si>
  <si>
    <t>Rydberg Rh</t>
    <phoneticPr fontId="0" type="noConversion"/>
  </si>
  <si>
    <t>m-1</t>
    <phoneticPr fontId="0" type="noConversion"/>
  </si>
  <si>
    <t>ly convert</t>
  </si>
  <si>
    <t>Solar Mbol</t>
  </si>
  <si>
    <t>mag</t>
  </si>
  <si>
    <t>Solar M_B</t>
    <phoneticPr fontId="0" type="noConversion"/>
  </si>
  <si>
    <t>mag</t>
    <phoneticPr fontId="0" type="noConversion"/>
  </si>
  <si>
    <t>Solar Lumin</t>
  </si>
  <si>
    <t>W</t>
  </si>
  <si>
    <t>Solar Mass</t>
  </si>
  <si>
    <t>kg</t>
  </si>
  <si>
    <t>Solar Radius</t>
  </si>
  <si>
    <t>Solar Constant</t>
    <phoneticPr fontId="0" type="noConversion"/>
  </si>
  <si>
    <t>W/m2</t>
    <phoneticPr fontId="0" type="noConversion"/>
  </si>
  <si>
    <t>Jupiter Mass</t>
    <phoneticPr fontId="0" type="noConversion"/>
  </si>
  <si>
    <t>Parsec</t>
  </si>
  <si>
    <t>Arcsecond</t>
  </si>
  <si>
    <t>radian</t>
  </si>
  <si>
    <t>Degree</t>
  </si>
  <si>
    <t>Wien</t>
    <phoneticPr fontId="0" type="noConversion"/>
  </si>
  <si>
    <t>mK</t>
    <phoneticPr fontId="0" type="noConversion"/>
  </si>
  <si>
    <t>EW (A)</t>
  </si>
  <si>
    <t>z_avg?</t>
  </si>
  <si>
    <t>L = 10^-0.4(M-51.595) for AB system</t>
  </si>
  <si>
    <t>contin.spec.lum. (erg/s/Hz)</t>
  </si>
  <si>
    <t>wavelength (A)</t>
  </si>
  <si>
    <t>contin.spec.lum. (erg/s/cm)</t>
  </si>
  <si>
    <t>f_lam = f_nu c / lambda2</t>
  </si>
  <si>
    <t>cm/s</t>
  </si>
  <si>
    <t>Angstrom</t>
  </si>
  <si>
    <t>L_Halpha</t>
  </si>
  <si>
    <t>EW (cm)</t>
  </si>
  <si>
    <t>fluxG</t>
  </si>
  <si>
    <t>fluxB</t>
  </si>
  <si>
    <t>Estimate reddening from Hgamma/Hbeta</t>
  </si>
  <si>
    <t>fluxD</t>
  </si>
  <si>
    <t>ratio observe G/B</t>
  </si>
  <si>
    <t>ratio theory G/B</t>
  </si>
  <si>
    <t>ratio observe D/B</t>
  </si>
  <si>
    <t>ratio theory D/B</t>
  </si>
  <si>
    <t>k-beta</t>
  </si>
  <si>
    <t>k-gamma</t>
  </si>
  <si>
    <t>k-delta</t>
  </si>
  <si>
    <t>E(B-V)_gamma</t>
  </si>
  <si>
    <t>E(B-V)_delta</t>
  </si>
  <si>
    <t>A-beta from gamma</t>
  </si>
  <si>
    <t>A-beta from delta</t>
  </si>
  <si>
    <t>example MMT01</t>
  </si>
  <si>
    <t>E(B-V)</t>
  </si>
  <si>
    <t>A-beta</t>
  </si>
  <si>
    <t>detlta log</t>
  </si>
  <si>
    <t>delta in T15</t>
  </si>
  <si>
    <t>Mg</t>
  </si>
  <si>
    <t>L_Hbeta raw</t>
  </si>
  <si>
    <t>L_Hbeta corrected</t>
  </si>
  <si>
    <t>correction-real</t>
  </si>
  <si>
    <t>average of Mg</t>
  </si>
  <si>
    <t>average of 10^-0.4Mg</t>
  </si>
  <si>
    <t>-2.5log(av of 10^-0.4Mg)</t>
  </si>
  <si>
    <t>use this one below</t>
  </si>
  <si>
    <t>H-beta SFR from spectrum of wig12col2</t>
  </si>
  <si>
    <t>SFR_avg Glazebrook</t>
  </si>
  <si>
    <t>metallicity (old) = 12 + log(O/H)</t>
  </si>
  <si>
    <t>y=log(O/H)+3.31</t>
  </si>
  <si>
    <t>x=-41+.4y+.13y2</t>
  </si>
  <si>
    <t>Kennicut SFR (Ms/yr)   [eq 16]</t>
  </si>
  <si>
    <t>Ly SFR (Ms/yr)   [eq 17]</t>
  </si>
  <si>
    <t>Metallicity from Spectrum</t>
  </si>
  <si>
    <t>Using relations from ly2016</t>
  </si>
  <si>
    <t>Auroral to nebular ratio</t>
  </si>
  <si>
    <t>Wig11col2 results</t>
  </si>
  <si>
    <t>Av mass</t>
  </si>
  <si>
    <t>Old Av sfr</t>
  </si>
  <si>
    <t>Av redshift</t>
  </si>
  <si>
    <t>4363 flux</t>
  </si>
  <si>
    <t>3278 Flux</t>
  </si>
  <si>
    <t>4959 flux</t>
  </si>
  <si>
    <t>Hbeta STARLIGHT FITTED</t>
  </si>
  <si>
    <t>Reddening values</t>
  </si>
  <si>
    <t>k(gama)</t>
  </si>
  <si>
    <t>k(beta)</t>
  </si>
  <si>
    <t>Values from Ly 2016</t>
  </si>
  <si>
    <t>Calculated</t>
  </si>
  <si>
    <t>values for cardelli</t>
  </si>
  <si>
    <t>a(beta)</t>
  </si>
  <si>
    <t>b(beta)</t>
  </si>
  <si>
    <t>a(gama)</t>
  </si>
  <si>
    <t>b(gama)</t>
  </si>
  <si>
    <t>Metallicity O+</t>
  </si>
  <si>
    <t>Electron Temperatre o++</t>
  </si>
  <si>
    <t>O+ temp</t>
  </si>
  <si>
    <t>HAS X IN EQUATION?</t>
  </si>
  <si>
    <t>Metallicity O++</t>
  </si>
  <si>
    <t>Then we try to get O+ + O++ / hb</t>
  </si>
  <si>
    <t>metallicity</t>
  </si>
  <si>
    <t>Adjusted Line fluxes</t>
  </si>
  <si>
    <t>K values reddening</t>
  </si>
  <si>
    <t>t2</t>
  </si>
  <si>
    <t>t3 (temp / 10000)</t>
  </si>
  <si>
    <t>(12+o++/h)</t>
  </si>
  <si>
    <t>(12+o+/h)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</si>
</sst>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2" fontId="1" fillId="2" borderId="0" xfId="1" applyNumberForma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L27" sqref="L27"/>
    </sheetView>
  </sheetViews>
  <sheetFormatPr defaultColWidth="11" defaultRowHeight="15.75" x14ac:dyDescent="0.25"/>
  <cols>
    <col min="1" max="1" width="36.5" customWidth="1"/>
    <col min="2" max="2" width="11.875" bestFit="1" customWidth="1"/>
    <col min="10" max="10" width="28.5" customWidth="1"/>
  </cols>
  <sheetData>
    <row r="1" spans="1:15" x14ac:dyDescent="0.25">
      <c r="A1" t="s">
        <v>0</v>
      </c>
      <c r="J1" t="s">
        <v>96</v>
      </c>
      <c r="M1" t="s">
        <v>122</v>
      </c>
      <c r="O1" t="s">
        <v>121</v>
      </c>
    </row>
    <row r="2" spans="1:15" x14ac:dyDescent="0.25">
      <c r="A2" t="s">
        <v>1</v>
      </c>
      <c r="B2">
        <v>6.6729999999999999E-11</v>
      </c>
      <c r="C2" t="s">
        <v>2</v>
      </c>
      <c r="J2" t="s">
        <v>97</v>
      </c>
      <c r="K2">
        <v>9.8483000000000001</v>
      </c>
    </row>
    <row r="3" spans="1:15" x14ac:dyDescent="0.25">
      <c r="A3" t="s">
        <v>3</v>
      </c>
      <c r="B3">
        <v>31560000</v>
      </c>
      <c r="C3" t="s">
        <v>4</v>
      </c>
      <c r="J3" t="s">
        <v>98</v>
      </c>
      <c r="K3">
        <v>17.4575</v>
      </c>
    </row>
    <row r="4" spans="1:15" x14ac:dyDescent="0.25">
      <c r="A4" t="s">
        <v>5</v>
      </c>
      <c r="B4">
        <f>24*3600</f>
        <v>86400</v>
      </c>
      <c r="C4" t="s">
        <v>4</v>
      </c>
      <c r="J4" t="s">
        <v>99</v>
      </c>
      <c r="K4">
        <v>0.59250000000000003</v>
      </c>
    </row>
    <row r="5" spans="1:15" x14ac:dyDescent="0.25">
      <c r="A5" t="s">
        <v>6</v>
      </c>
      <c r="B5" s="1">
        <v>300000000</v>
      </c>
      <c r="C5" t="s">
        <v>7</v>
      </c>
      <c r="D5" s="1">
        <f>B5*100</f>
        <v>30000000000</v>
      </c>
      <c r="E5" t="s">
        <v>54</v>
      </c>
      <c r="J5" t="s">
        <v>100</v>
      </c>
      <c r="K5">
        <v>3.5097179999999999</v>
      </c>
      <c r="M5">
        <v>4.1482000000000001</v>
      </c>
      <c r="O5">
        <f>K5*10^(0.4*M5*B$40)</f>
        <v>36.250254731167637</v>
      </c>
    </row>
    <row r="6" spans="1:15" x14ac:dyDescent="0.25">
      <c r="A6" t="s">
        <v>8</v>
      </c>
      <c r="B6">
        <v>100</v>
      </c>
      <c r="C6" t="s">
        <v>9</v>
      </c>
      <c r="D6">
        <f>B6*1000</f>
        <v>100000</v>
      </c>
      <c r="E6" t="s">
        <v>10</v>
      </c>
      <c r="J6" t="s">
        <v>101</v>
      </c>
      <c r="K6">
        <v>375.904</v>
      </c>
      <c r="M6">
        <v>5.1631999999999998</v>
      </c>
      <c r="O6">
        <f t="shared" ref="O6:O8" si="0">K6*10^(0.4*M6*B$40)</f>
        <v>6874.4081528772049</v>
      </c>
    </row>
    <row r="7" spans="1:15" x14ac:dyDescent="0.25">
      <c r="A7" t="s">
        <v>55</v>
      </c>
      <c r="B7" s="1">
        <v>1E-10</v>
      </c>
      <c r="C7" t="s">
        <v>25</v>
      </c>
      <c r="D7" s="1">
        <f>B7*100</f>
        <v>1E-8</v>
      </c>
      <c r="E7" t="s">
        <v>54</v>
      </c>
      <c r="J7" t="s">
        <v>102</v>
      </c>
      <c r="K7">
        <v>159.9693</v>
      </c>
      <c r="M7">
        <v>3.5163000000000002</v>
      </c>
      <c r="O7">
        <f t="shared" si="0"/>
        <v>1157.7260359163679</v>
      </c>
    </row>
    <row r="8" spans="1:15" x14ac:dyDescent="0.25">
      <c r="A8" t="s">
        <v>11</v>
      </c>
      <c r="B8" s="1">
        <v>9.1093818999999997E-31</v>
      </c>
      <c r="C8" t="s">
        <v>12</v>
      </c>
      <c r="J8" s="5" t="s">
        <v>103</v>
      </c>
      <c r="K8" s="5">
        <v>201.872726</v>
      </c>
      <c r="M8">
        <v>3.6901999999999999</v>
      </c>
      <c r="O8">
        <f>K8*10^(0.4*M8*B$40)</f>
        <v>1611.2284959851704</v>
      </c>
    </row>
    <row r="9" spans="1:15" x14ac:dyDescent="0.25">
      <c r="A9" t="s">
        <v>13</v>
      </c>
      <c r="B9" s="1">
        <v>1.674E-27</v>
      </c>
      <c r="C9" t="s">
        <v>14</v>
      </c>
    </row>
    <row r="10" spans="1:15" x14ac:dyDescent="0.25">
      <c r="A10" t="s">
        <v>15</v>
      </c>
      <c r="B10" s="1">
        <v>-13.6</v>
      </c>
      <c r="C10" t="s">
        <v>16</v>
      </c>
    </row>
    <row r="11" spans="1:15" x14ac:dyDescent="0.25">
      <c r="A11" t="s">
        <v>17</v>
      </c>
      <c r="B11">
        <v>6.6261000000000003E-34</v>
      </c>
      <c r="C11" t="s">
        <v>18</v>
      </c>
    </row>
    <row r="12" spans="1:15" x14ac:dyDescent="0.25">
      <c r="A12" t="s">
        <v>19</v>
      </c>
      <c r="B12">
        <v>1.38065E-23</v>
      </c>
      <c r="C12" t="s">
        <v>20</v>
      </c>
    </row>
    <row r="13" spans="1:15" x14ac:dyDescent="0.25">
      <c r="A13" t="s">
        <v>19</v>
      </c>
      <c r="B13" s="1">
        <v>8.6173420000000005E-5</v>
      </c>
      <c r="C13" t="s">
        <v>21</v>
      </c>
    </row>
    <row r="14" spans="1:15" x14ac:dyDescent="0.25">
      <c r="A14" t="s">
        <v>22</v>
      </c>
      <c r="B14">
        <v>5.6699999999999998E-8</v>
      </c>
      <c r="C14" t="s">
        <v>23</v>
      </c>
    </row>
    <row r="15" spans="1:15" x14ac:dyDescent="0.25">
      <c r="A15" t="s">
        <v>24</v>
      </c>
      <c r="B15">
        <v>149600000000</v>
      </c>
      <c r="C15" t="s">
        <v>25</v>
      </c>
    </row>
    <row r="16" spans="1:15" x14ac:dyDescent="0.25">
      <c r="A16" t="s">
        <v>26</v>
      </c>
      <c r="B16" s="1">
        <v>11000000</v>
      </c>
      <c r="C16" t="s">
        <v>27</v>
      </c>
    </row>
    <row r="17" spans="1:15" x14ac:dyDescent="0.25">
      <c r="A17" t="s">
        <v>28</v>
      </c>
      <c r="B17">
        <v>9461000000000000</v>
      </c>
      <c r="C17" t="s">
        <v>25</v>
      </c>
    </row>
    <row r="18" spans="1:15" x14ac:dyDescent="0.25">
      <c r="A18" t="s">
        <v>29</v>
      </c>
      <c r="B18">
        <v>4.74</v>
      </c>
      <c r="C18" t="s">
        <v>30</v>
      </c>
    </row>
    <row r="19" spans="1:15" x14ac:dyDescent="0.25">
      <c r="A19" t="s">
        <v>31</v>
      </c>
      <c r="B19">
        <v>5.47</v>
      </c>
      <c r="C19" t="s">
        <v>32</v>
      </c>
    </row>
    <row r="20" spans="1:15" x14ac:dyDescent="0.25">
      <c r="A20" t="s">
        <v>33</v>
      </c>
      <c r="B20" s="1">
        <v>3.8399999999999999E+26</v>
      </c>
      <c r="C20" t="s">
        <v>34</v>
      </c>
    </row>
    <row r="21" spans="1:15" x14ac:dyDescent="0.25">
      <c r="A21" t="s">
        <v>35</v>
      </c>
      <c r="B21">
        <v>1.9889999999999999E+30</v>
      </c>
      <c r="C21" t="s">
        <v>36</v>
      </c>
    </row>
    <row r="22" spans="1:15" x14ac:dyDescent="0.25">
      <c r="A22" t="s">
        <v>37</v>
      </c>
      <c r="B22">
        <v>695500000</v>
      </c>
      <c r="C22" t="s">
        <v>25</v>
      </c>
    </row>
    <row r="23" spans="1:15" x14ac:dyDescent="0.25">
      <c r="A23" t="s">
        <v>38</v>
      </c>
      <c r="B23">
        <v>1365</v>
      </c>
      <c r="C23" t="s">
        <v>39</v>
      </c>
    </row>
    <row r="24" spans="1:15" x14ac:dyDescent="0.25">
      <c r="A24" t="s">
        <v>40</v>
      </c>
      <c r="B24" s="1">
        <v>1.8899999999999999E+27</v>
      </c>
      <c r="C24" t="s">
        <v>14</v>
      </c>
    </row>
    <row r="25" spans="1:15" x14ac:dyDescent="0.25">
      <c r="A25" t="s">
        <v>41</v>
      </c>
      <c r="B25">
        <v>3.09E+16</v>
      </c>
      <c r="C25" t="s">
        <v>25</v>
      </c>
    </row>
    <row r="26" spans="1:15" x14ac:dyDescent="0.25">
      <c r="A26" t="s">
        <v>42</v>
      </c>
      <c r="B26">
        <f>PI()/(180*3600)</f>
        <v>4.8481368110953598E-6</v>
      </c>
      <c r="C26" t="s">
        <v>43</v>
      </c>
    </row>
    <row r="27" spans="1:15" x14ac:dyDescent="0.25">
      <c r="A27" t="s">
        <v>44</v>
      </c>
      <c r="B27">
        <f>PI()/(180)</f>
        <v>1.7453292519943295E-2</v>
      </c>
      <c r="C27" t="s">
        <v>43</v>
      </c>
    </row>
    <row r="28" spans="1:15" x14ac:dyDescent="0.25">
      <c r="A28" t="s">
        <v>45</v>
      </c>
      <c r="B28">
        <v>2.8999999999999998E-3</v>
      </c>
      <c r="C28" t="s">
        <v>46</v>
      </c>
    </row>
    <row r="31" spans="1:15" x14ac:dyDescent="0.25">
      <c r="A31" t="s">
        <v>60</v>
      </c>
      <c r="J31" t="s">
        <v>104</v>
      </c>
    </row>
    <row r="32" spans="1:15" x14ac:dyDescent="0.25">
      <c r="A32" t="s">
        <v>58</v>
      </c>
      <c r="B32">
        <v>65.05</v>
      </c>
      <c r="J32" s="5" t="s">
        <v>107</v>
      </c>
      <c r="N32" s="4" t="s">
        <v>109</v>
      </c>
      <c r="O32" s="4"/>
    </row>
    <row r="33" spans="1:15" x14ac:dyDescent="0.25">
      <c r="A33" t="s">
        <v>59</v>
      </c>
      <c r="B33">
        <v>190.5</v>
      </c>
      <c r="J33" t="s">
        <v>105</v>
      </c>
      <c r="K33">
        <f>B36</f>
        <v>4.17</v>
      </c>
      <c r="N33" s="4" t="s">
        <v>110</v>
      </c>
      <c r="O33" s="4">
        <v>1.0109999999999999</v>
      </c>
    </row>
    <row r="34" spans="1:15" x14ac:dyDescent="0.25">
      <c r="A34" t="s">
        <v>61</v>
      </c>
      <c r="B34">
        <v>27.14</v>
      </c>
      <c r="J34" t="s">
        <v>106</v>
      </c>
      <c r="K34">
        <f>B35</f>
        <v>3.61</v>
      </c>
      <c r="N34" s="4" t="s">
        <v>111</v>
      </c>
      <c r="O34" s="4">
        <v>0.46129999999999999</v>
      </c>
    </row>
    <row r="35" spans="1:15" x14ac:dyDescent="0.25">
      <c r="A35" t="s">
        <v>66</v>
      </c>
      <c r="B35">
        <v>3.61</v>
      </c>
      <c r="N35" s="4" t="s">
        <v>112</v>
      </c>
      <c r="O35" s="4">
        <v>0.99690000000000001</v>
      </c>
    </row>
    <row r="36" spans="1:15" x14ac:dyDescent="0.25">
      <c r="A36" t="s">
        <v>67</v>
      </c>
      <c r="B36">
        <v>4.17</v>
      </c>
      <c r="J36" s="5" t="s">
        <v>108</v>
      </c>
      <c r="K36" s="5"/>
      <c r="N36" s="4" t="s">
        <v>113</v>
      </c>
      <c r="O36" s="4">
        <v>1.0827</v>
      </c>
    </row>
    <row r="37" spans="1:15" x14ac:dyDescent="0.25">
      <c r="A37" t="s">
        <v>68</v>
      </c>
      <c r="B37">
        <v>4.4400000000000004</v>
      </c>
      <c r="J37" s="5" t="s">
        <v>105</v>
      </c>
      <c r="K37" s="5">
        <f>O35*3.1+O36</f>
        <v>4.1730900000000002</v>
      </c>
    </row>
    <row r="38" spans="1:15" x14ac:dyDescent="0.25">
      <c r="A38" t="s">
        <v>62</v>
      </c>
      <c r="B38">
        <f>B32/B33</f>
        <v>0.34146981627296585</v>
      </c>
      <c r="J38" s="5" t="s">
        <v>106</v>
      </c>
      <c r="K38" s="5">
        <f>O33*3.1+O34</f>
        <v>3.5953999999999997</v>
      </c>
    </row>
    <row r="39" spans="1:15" x14ac:dyDescent="0.25">
      <c r="A39" t="s">
        <v>63</v>
      </c>
      <c r="B39">
        <v>0.46800000000000003</v>
      </c>
      <c r="J39" s="5" t="s">
        <v>74</v>
      </c>
      <c r="K39">
        <f>LOG10((B32/B33)/B39)/(-0.4*(K37-K38))</f>
        <v>0.59241778543923651</v>
      </c>
    </row>
    <row r="40" spans="1:15" x14ac:dyDescent="0.25">
      <c r="A40" t="s">
        <v>69</v>
      </c>
      <c r="B40">
        <f>LOG10(B38/B39)/(-0.4*(B36-B35))</f>
        <v>0.61113184012570143</v>
      </c>
    </row>
    <row r="41" spans="1:15" x14ac:dyDescent="0.25">
      <c r="A41" t="s">
        <v>71</v>
      </c>
      <c r="B41">
        <f>B35*B40</f>
        <v>2.2061859428537822</v>
      </c>
    </row>
    <row r="42" spans="1:15" x14ac:dyDescent="0.25">
      <c r="A42" t="s">
        <v>64</v>
      </c>
      <c r="B42">
        <f>B34/B33</f>
        <v>0.14246719160104987</v>
      </c>
    </row>
    <row r="43" spans="1:15" x14ac:dyDescent="0.25">
      <c r="A43" t="s">
        <v>65</v>
      </c>
      <c r="B43">
        <v>0.25900000000000001</v>
      </c>
    </row>
    <row r="44" spans="1:15" x14ac:dyDescent="0.25">
      <c r="A44" t="s">
        <v>70</v>
      </c>
      <c r="B44">
        <f>LOG10(B42/B43)/(-0.4*(B37-B35))</f>
        <v>0.78188223123244427</v>
      </c>
    </row>
    <row r="45" spans="1:15" x14ac:dyDescent="0.25">
      <c r="A45" t="s">
        <v>72</v>
      </c>
      <c r="B45">
        <f>B35*B44</f>
        <v>2.8225948547491235</v>
      </c>
    </row>
    <row r="47" spans="1:15" x14ac:dyDescent="0.25">
      <c r="A47" t="s">
        <v>73</v>
      </c>
      <c r="B47" t="s">
        <v>74</v>
      </c>
      <c r="C47" t="s">
        <v>75</v>
      </c>
      <c r="D47" t="s">
        <v>76</v>
      </c>
      <c r="E47" t="s">
        <v>77</v>
      </c>
    </row>
    <row r="48" spans="1:15" x14ac:dyDescent="0.25">
      <c r="B48">
        <v>0.3</v>
      </c>
      <c r="C48">
        <f>B48*B35</f>
        <v>1.083</v>
      </c>
      <c r="D48">
        <f>0.4*C48</f>
        <v>0.43320000000000003</v>
      </c>
      <c r="E48">
        <f>0.53-0.09</f>
        <v>0.44000000000000006</v>
      </c>
    </row>
    <row r="49" spans="1:13" x14ac:dyDescent="0.25">
      <c r="J49" t="s">
        <v>93</v>
      </c>
    </row>
    <row r="50" spans="1:13" x14ac:dyDescent="0.25">
      <c r="J50" t="s">
        <v>94</v>
      </c>
    </row>
    <row r="51" spans="1:13" x14ac:dyDescent="0.25">
      <c r="A51" t="s">
        <v>86</v>
      </c>
    </row>
    <row r="52" spans="1:13" x14ac:dyDescent="0.25">
      <c r="A52" t="s">
        <v>82</v>
      </c>
      <c r="B52">
        <v>-21.3</v>
      </c>
      <c r="C52" t="s">
        <v>85</v>
      </c>
    </row>
    <row r="53" spans="1:13" x14ac:dyDescent="0.25">
      <c r="A53" t="s">
        <v>83</v>
      </c>
      <c r="B53">
        <v>645006656</v>
      </c>
      <c r="J53" t="s">
        <v>95</v>
      </c>
      <c r="K53">
        <f>O5/(O7*4)</f>
        <v>7.827900039942241E-3</v>
      </c>
    </row>
    <row r="54" spans="1:13" x14ac:dyDescent="0.25">
      <c r="A54" s="2" t="s">
        <v>84</v>
      </c>
      <c r="B54">
        <f>-2.5*LOG10(B53)</f>
        <v>-22.023910490654668</v>
      </c>
      <c r="J54" t="s">
        <v>115</v>
      </c>
      <c r="K54">
        <f>13205*(-LOG10(K53)-0.92506)^(-0.98062)</f>
        <v>11214.565264063396</v>
      </c>
    </row>
    <row r="55" spans="1:13" x14ac:dyDescent="0.25">
      <c r="J55" t="s">
        <v>116</v>
      </c>
      <c r="K55">
        <f>0.7*K54+0.17*10000</f>
        <v>9550.195684844377</v>
      </c>
    </row>
    <row r="56" spans="1:13" x14ac:dyDescent="0.25">
      <c r="A56" t="s">
        <v>47</v>
      </c>
      <c r="B56">
        <v>21.02</v>
      </c>
    </row>
    <row r="57" spans="1:13" x14ac:dyDescent="0.25">
      <c r="A57" t="s">
        <v>57</v>
      </c>
      <c r="B57" s="1">
        <f>B56*D7</f>
        <v>2.1019999999999999E-7</v>
      </c>
      <c r="J57" t="s">
        <v>124</v>
      </c>
      <c r="K57">
        <f>K54/10000</f>
        <v>1.1214565264063396</v>
      </c>
    </row>
    <row r="58" spans="1:13" x14ac:dyDescent="0.25">
      <c r="A58" t="s">
        <v>87</v>
      </c>
      <c r="B58" s="4">
        <v>17.45</v>
      </c>
      <c r="J58" t="s">
        <v>123</v>
      </c>
      <c r="K58">
        <f>K55/10000</f>
        <v>0.9550195684844377</v>
      </c>
    </row>
    <row r="59" spans="1:13" x14ac:dyDescent="0.25">
      <c r="A59" t="s">
        <v>48</v>
      </c>
      <c r="B59">
        <v>0.59250000000000003</v>
      </c>
    </row>
    <row r="60" spans="1:13" x14ac:dyDescent="0.25">
      <c r="A60" t="s">
        <v>78</v>
      </c>
      <c r="B60">
        <v>-21.3</v>
      </c>
    </row>
    <row r="61" spans="1:13" x14ac:dyDescent="0.25">
      <c r="A61" t="s">
        <v>51</v>
      </c>
      <c r="B61">
        <v>4861</v>
      </c>
      <c r="I61" t="s">
        <v>126</v>
      </c>
      <c r="J61" s="5" t="s">
        <v>114</v>
      </c>
      <c r="K61" s="5">
        <f>LOG10(K6/K8)+5.961+1.676/K58 - 0.4*LOG10(K58)-0.034*K58</f>
        <v>7.9614615883202413</v>
      </c>
      <c r="M61" t="s">
        <v>117</v>
      </c>
    </row>
    <row r="62" spans="1:13" x14ac:dyDescent="0.25">
      <c r="I62" t="s">
        <v>125</v>
      </c>
      <c r="J62" t="s">
        <v>118</v>
      </c>
      <c r="K62">
        <f>LOG10(4*K7/K8)+6.2+1.251/K58 - 0.55*LOG10(K58)-0.014*K58</f>
        <v>8.008562768425886</v>
      </c>
    </row>
    <row r="63" spans="1:13" x14ac:dyDescent="0.25">
      <c r="A63" t="s">
        <v>50</v>
      </c>
      <c r="B63">
        <f>POWER(10,-0.4*(B60-51.595))</f>
        <v>1.4387985782558618E+29</v>
      </c>
      <c r="E63" s="2" t="s">
        <v>49</v>
      </c>
    </row>
    <row r="64" spans="1:13" x14ac:dyDescent="0.25">
      <c r="A64" t="s">
        <v>52</v>
      </c>
      <c r="B64" s="1">
        <f>B63*D5/POWER(B61*D7,2)</f>
        <v>1.8267117090531649E+48</v>
      </c>
      <c r="E64" t="s">
        <v>53</v>
      </c>
      <c r="J64" t="s">
        <v>119</v>
      </c>
    </row>
    <row r="65" spans="1:11" x14ac:dyDescent="0.25">
      <c r="A65" t="s">
        <v>79</v>
      </c>
      <c r="B65" s="1">
        <f>B64*B57</f>
        <v>3.8397480124297526E+41</v>
      </c>
      <c r="J65" t="s">
        <v>120</v>
      </c>
      <c r="K65">
        <f>LOG(10^(K61-12)+10^(K62-12))+12</f>
        <v>8.2866804030546959</v>
      </c>
    </row>
    <row r="66" spans="1:11" x14ac:dyDescent="0.25">
      <c r="A66" t="s">
        <v>81</v>
      </c>
      <c r="B66">
        <f>POWER(10,0.4*B41)</f>
        <v>7.6291187893920007</v>
      </c>
    </row>
    <row r="67" spans="1:11" x14ac:dyDescent="0.25">
      <c r="A67" t="s">
        <v>80</v>
      </c>
      <c r="B67" s="1">
        <f>B65*B66</f>
        <v>2.9293893708158412E+42</v>
      </c>
    </row>
    <row r="68" spans="1:11" x14ac:dyDescent="0.25">
      <c r="A68" t="s">
        <v>56</v>
      </c>
      <c r="B68" s="1">
        <f>B67*2.86</f>
        <v>8.3780536005333052E+42</v>
      </c>
    </row>
    <row r="70" spans="1:11" x14ac:dyDescent="0.25">
      <c r="A70" t="s">
        <v>91</v>
      </c>
      <c r="B70" s="3">
        <f>4.4E-42*B68</f>
        <v>36.863435842346547</v>
      </c>
    </row>
    <row r="71" spans="1:11" x14ac:dyDescent="0.25">
      <c r="A71" t="s">
        <v>88</v>
      </c>
      <c r="B71">
        <v>8.282</v>
      </c>
    </row>
    <row r="72" spans="1:11" x14ac:dyDescent="0.25">
      <c r="A72" t="s">
        <v>89</v>
      </c>
      <c r="B72">
        <f>B71-12+3.31</f>
        <v>-0.40799999999999992</v>
      </c>
    </row>
    <row r="73" spans="1:11" x14ac:dyDescent="0.25">
      <c r="A73" t="s">
        <v>90</v>
      </c>
      <c r="B73">
        <f>-41.34+0.39*B72+0.127*B72*B72</f>
        <v>-41.477979072000004</v>
      </c>
    </row>
    <row r="74" spans="1:11" x14ac:dyDescent="0.25">
      <c r="A74" t="s">
        <v>92</v>
      </c>
      <c r="B74" s="3">
        <f>B68*POWER(10,B73)</f>
        <v>27.871738747211019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Drinkwater</dc:creator>
  <cp:lastModifiedBy>Zachary Byrne</cp:lastModifiedBy>
  <dcterms:created xsi:type="dcterms:W3CDTF">2016-12-15T05:22:05Z</dcterms:created>
  <dcterms:modified xsi:type="dcterms:W3CDTF">2017-01-04T12:06:10Z</dcterms:modified>
</cp:coreProperties>
</file>