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7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efault.SixCore-PC\Desktop\Pirate\Assets\"/>
    </mc:Choice>
  </mc:AlternateContent>
  <xr:revisionPtr revIDLastSave="0" documentId="13_ncr:1_{DC855C84-96CB-415C-B5A5-E33A7DEC8D1D}" xr6:coauthVersionLast="34" xr6:coauthVersionMax="34" xr10:uidLastSave="{00000000-0000-0000-0000-000000000000}"/>
  <bookViews>
    <workbookView xWindow="0" yWindow="0" windowWidth="25200" windowHeight="11775" tabRatio="685" activeTab="5" xr2:uid="{839B0FDF-85E5-4333-AF54-9869B170841E}"/>
  </bookViews>
  <sheets>
    <sheet name="Resources Over Sectors" sheetId="1" r:id="rId1"/>
    <sheet name="Crew Stats" sheetId="2" r:id="rId2"/>
    <sheet name="Ship Stats" sheetId="3" r:id="rId3"/>
    <sheet name="Fishing Ship" sheetId="4" r:id="rId4"/>
    <sheet name="Merchant Ship" sheetId="5" r:id="rId5"/>
    <sheet name="Faction Ship" sheetId="7" r:id="rId6"/>
    <sheet name="Island Resources" sheetId="6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" i="7" l="1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3" i="7"/>
  <c r="AO4" i="7"/>
  <c r="AO5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O19" i="7"/>
  <c r="AO20" i="7"/>
  <c r="AO21" i="7"/>
  <c r="AO22" i="7"/>
  <c r="AO23" i="7"/>
  <c r="F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C3" i="7"/>
  <c r="AB3" i="7"/>
  <c r="Q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R28" i="7"/>
  <c r="Q28" i="7"/>
  <c r="R3" i="7"/>
  <c r="G3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F28" i="7"/>
  <c r="G28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D74" i="2"/>
  <c r="D73" i="2"/>
  <c r="D72" i="2"/>
  <c r="C17" i="7"/>
  <c r="C16" i="7"/>
  <c r="C15" i="7"/>
  <c r="G4" i="6" l="1"/>
  <c r="G5" i="6"/>
  <c r="G6" i="6"/>
  <c r="G7" i="6"/>
  <c r="G8" i="6"/>
  <c r="G9" i="6"/>
  <c r="G10" i="6"/>
  <c r="G11" i="6"/>
  <c r="G12" i="6"/>
  <c r="G3" i="6"/>
  <c r="C16" i="5"/>
  <c r="C17" i="5"/>
  <c r="C15" i="5"/>
  <c r="C16" i="4"/>
  <c r="C17" i="4"/>
  <c r="C15" i="4"/>
  <c r="G3" i="5"/>
  <c r="F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3" i="5"/>
  <c r="G4" i="5"/>
  <c r="G5" i="5"/>
  <c r="G6" i="5"/>
  <c r="G7" i="5"/>
  <c r="G8" i="5"/>
  <c r="H8" i="5" s="1"/>
  <c r="G9" i="5"/>
  <c r="G10" i="5"/>
  <c r="H10" i="5" s="1"/>
  <c r="G11" i="5"/>
  <c r="H11" i="5" s="1"/>
  <c r="G12" i="5"/>
  <c r="G13" i="5"/>
  <c r="G14" i="5"/>
  <c r="G15" i="5"/>
  <c r="G16" i="5"/>
  <c r="H16" i="5" s="1"/>
  <c r="G17" i="5"/>
  <c r="G18" i="5"/>
  <c r="H18" i="5" s="1"/>
  <c r="G19" i="5"/>
  <c r="H19" i="5" s="1"/>
  <c r="G20" i="5"/>
  <c r="G21" i="5"/>
  <c r="G22" i="5"/>
  <c r="G2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H23" i="5"/>
  <c r="H22" i="5"/>
  <c r="H21" i="5"/>
  <c r="H20" i="5"/>
  <c r="H17" i="5"/>
  <c r="H15" i="5"/>
  <c r="H14" i="5"/>
  <c r="H13" i="5"/>
  <c r="H12" i="5"/>
  <c r="H9" i="5"/>
  <c r="H7" i="5"/>
  <c r="H6" i="5"/>
  <c r="H5" i="5"/>
  <c r="H4" i="5"/>
  <c r="H3" i="5"/>
  <c r="T4" i="4" l="1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3" i="4"/>
  <c r="T3" i="4"/>
  <c r="H4" i="4" l="1"/>
  <c r="H5" i="4"/>
  <c r="H7" i="4"/>
  <c r="H15" i="4"/>
  <c r="H2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G4" i="4"/>
  <c r="G5" i="4"/>
  <c r="G6" i="4"/>
  <c r="H6" i="4" s="1"/>
  <c r="G7" i="4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G3" i="4"/>
  <c r="H3" i="4" s="1"/>
  <c r="I27" i="3" l="1"/>
  <c r="J27" i="3"/>
  <c r="I26" i="3"/>
  <c r="J26" i="3"/>
  <c r="I25" i="3"/>
  <c r="J25" i="3"/>
  <c r="I24" i="3"/>
  <c r="J24" i="3"/>
  <c r="K24" i="3" s="1"/>
  <c r="I23" i="3"/>
  <c r="J23" i="3"/>
  <c r="I22" i="3"/>
  <c r="J22" i="3"/>
  <c r="I21" i="3"/>
  <c r="J21" i="3"/>
  <c r="I20" i="3"/>
  <c r="J20" i="3"/>
  <c r="I19" i="3"/>
  <c r="J19" i="3"/>
  <c r="I18" i="3"/>
  <c r="J18" i="3"/>
  <c r="I17" i="3"/>
  <c r="J17" i="3"/>
  <c r="K17" i="3" s="1"/>
  <c r="I16" i="3"/>
  <c r="J16" i="3"/>
  <c r="I15" i="3"/>
  <c r="J15" i="3"/>
  <c r="I14" i="3"/>
  <c r="J14" i="3"/>
  <c r="I13" i="3"/>
  <c r="J13" i="3"/>
  <c r="K13" i="3"/>
  <c r="I3" i="3"/>
  <c r="J4" i="3"/>
  <c r="J5" i="3"/>
  <c r="J6" i="3"/>
  <c r="J7" i="3"/>
  <c r="J8" i="3"/>
  <c r="J9" i="3"/>
  <c r="J10" i="3"/>
  <c r="K10" i="3" s="1"/>
  <c r="J11" i="3"/>
  <c r="J12" i="3"/>
  <c r="J3" i="3"/>
  <c r="I4" i="3"/>
  <c r="I5" i="3"/>
  <c r="K5" i="3" s="1"/>
  <c r="I6" i="3"/>
  <c r="I7" i="3"/>
  <c r="I8" i="3"/>
  <c r="K8" i="3" s="1"/>
  <c r="I9" i="3"/>
  <c r="I10" i="3"/>
  <c r="I11" i="3"/>
  <c r="I12" i="3"/>
  <c r="K6" i="3" l="1"/>
  <c r="K14" i="3"/>
  <c r="K18" i="3"/>
  <c r="K22" i="3"/>
  <c r="K19" i="3"/>
  <c r="K7" i="3"/>
  <c r="K4" i="3"/>
  <c r="K11" i="3"/>
  <c r="K3" i="3"/>
  <c r="K26" i="3"/>
  <c r="K12" i="3"/>
  <c r="K9" i="3"/>
  <c r="K15" i="3"/>
  <c r="K20" i="3"/>
  <c r="K23" i="3"/>
  <c r="K21" i="3"/>
  <c r="K25" i="3"/>
  <c r="K16" i="3"/>
  <c r="K27" i="3"/>
  <c r="D71" i="2"/>
  <c r="D70" i="2"/>
  <c r="D69" i="2"/>
  <c r="D68" i="2"/>
  <c r="D67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52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35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18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4" i="2"/>
  <c r="P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P29" i="2"/>
  <c r="H30" i="2" l="1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9" i="2"/>
  <c r="P30" i="2" l="1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29" i="2"/>
  <c r="H5" i="1" l="1"/>
  <c r="H6" i="1"/>
  <c r="H7" i="1"/>
  <c r="H8" i="1"/>
  <c r="H9" i="1"/>
  <c r="H10" i="1"/>
  <c r="H11" i="1"/>
  <c r="H12" i="1"/>
  <c r="H13" i="1"/>
  <c r="H14" i="1"/>
  <c r="H15" i="1"/>
  <c r="H4" i="1"/>
  <c r="I4" i="1" s="1"/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</calcChain>
</file>

<file path=xl/sharedStrings.xml><?xml version="1.0" encoding="utf-8"?>
<sst xmlns="http://schemas.openxmlformats.org/spreadsheetml/2006/main" count="180" uniqueCount="99">
  <si>
    <t>Initial Starting Food</t>
  </si>
  <si>
    <t>Initial Starting Gold</t>
  </si>
  <si>
    <t>Initial Starting Crew</t>
  </si>
  <si>
    <t>Number of Sectors</t>
  </si>
  <si>
    <t>Max Crew</t>
  </si>
  <si>
    <t>Average First Sector with Full Crew</t>
  </si>
  <si>
    <t>Food Consumption Formula</t>
  </si>
  <si>
    <t>Sector Number</t>
  </si>
  <si>
    <t>Food Consumption In Sector</t>
  </si>
  <si>
    <t>Cumulative Food Consumption</t>
  </si>
  <si>
    <t>Food Consumption Multiple</t>
  </si>
  <si>
    <t>2 x Crew Member Count</t>
  </si>
  <si>
    <t>Average Starting Dexterity</t>
  </si>
  <si>
    <t>Average Starting Intelligence</t>
  </si>
  <si>
    <t>Average Starting Heatlh</t>
  </si>
  <si>
    <t>Max Health</t>
  </si>
  <si>
    <t>Skill Gains Per Sector</t>
  </si>
  <si>
    <t>Dex</t>
  </si>
  <si>
    <t>Int</t>
  </si>
  <si>
    <t>Captain</t>
  </si>
  <si>
    <t>Navigator</t>
  </si>
  <si>
    <t>Doctor</t>
  </si>
  <si>
    <t>Bailer</t>
  </si>
  <si>
    <t>Carpenter</t>
  </si>
  <si>
    <t>Cannoneer</t>
  </si>
  <si>
    <t>Max Repair Speed</t>
  </si>
  <si>
    <t>Average Repair Speed</t>
  </si>
  <si>
    <t>Formula</t>
  </si>
  <si>
    <t>Attacking</t>
  </si>
  <si>
    <t>Speed</t>
  </si>
  <si>
    <t>Damage</t>
  </si>
  <si>
    <t>Cannon Fire Speed</t>
  </si>
  <si>
    <t>Doctor Healing</t>
  </si>
  <si>
    <t>Heal</t>
  </si>
  <si>
    <t>(INT-ASI+8)/4</t>
  </si>
  <si>
    <t>-.95*LN(Dex)+4</t>
  </si>
  <si>
    <t>1/(ARS*Dex) + MRS</t>
  </si>
  <si>
    <t>Initial Starting Wood</t>
  </si>
  <si>
    <t>1.4/SQRT(Dex)</t>
  </si>
  <si>
    <t>Dex*ASH/(ASD*4)</t>
  </si>
  <si>
    <t>Hit Rate</t>
  </si>
  <si>
    <t>-95/(1+e^(.4*(dex-ASD)))+95</t>
  </si>
  <si>
    <t>Carpenter Repair</t>
  </si>
  <si>
    <t>Amount</t>
  </si>
  <si>
    <t>(DEX-ASD+8)/4+1</t>
  </si>
  <si>
    <t>End Sector Amount</t>
  </si>
  <si>
    <t>DEX-ASD+10</t>
  </si>
  <si>
    <t>Standard Deviation</t>
  </si>
  <si>
    <t>HP</t>
  </si>
  <si>
    <t>Percentage</t>
  </si>
  <si>
    <t>Vision Range:</t>
  </si>
  <si>
    <t>Navigators Int + Ship Bonus</t>
  </si>
  <si>
    <t>Speed:</t>
  </si>
  <si>
    <t>Captains Int + .5 * Navigators Int + Ship Bonus</t>
  </si>
  <si>
    <t>Cannon Damage</t>
  </si>
  <si>
    <t>Repair Ship Heal</t>
  </si>
  <si>
    <t>Cannon Hits</t>
  </si>
  <si>
    <t>Total Damaged</t>
  </si>
  <si>
    <t>Total Repair</t>
  </si>
  <si>
    <t>Damage After Repair</t>
  </si>
  <si>
    <t>Ship Resources</t>
  </si>
  <si>
    <t>Food</t>
  </si>
  <si>
    <t>Min</t>
  </si>
  <si>
    <t>Max</t>
  </si>
  <si>
    <t>Wood</t>
  </si>
  <si>
    <t>Gold</t>
  </si>
  <si>
    <t>Ship Decision</t>
  </si>
  <si>
    <t>Trust</t>
  </si>
  <si>
    <t>Flee</t>
  </si>
  <si>
    <t>Parley</t>
  </si>
  <si>
    <t>Offer Bonus</t>
  </si>
  <si>
    <t>Threaten Decision</t>
  </si>
  <si>
    <t>Lethality</t>
  </si>
  <si>
    <t>Engage</t>
  </si>
  <si>
    <t>Give Goods</t>
  </si>
  <si>
    <t>Persuade:</t>
  </si>
  <si>
    <t>Person Value</t>
  </si>
  <si>
    <t>Int + Dex + HP</t>
  </si>
  <si>
    <t>Captains Int + Crew Size &gt; Person Value</t>
  </si>
  <si>
    <t>Bribe:</t>
  </si>
  <si>
    <t>Gold &gt; Person Value</t>
  </si>
  <si>
    <t>Fishers are more trusting but less willing to give goods than fishing ships.</t>
  </si>
  <si>
    <t>Mechants are less trusting but more willing to give goods than fishing ships.</t>
  </si>
  <si>
    <t>Crew Member Stat Changes</t>
  </si>
  <si>
    <t>Stat</t>
  </si>
  <si>
    <t>Average</t>
  </si>
  <si>
    <t>Delta</t>
  </si>
  <si>
    <t>Dexterity</t>
  </si>
  <si>
    <t>Intelligence</t>
  </si>
  <si>
    <t>Health</t>
  </si>
  <si>
    <t>Resource</t>
  </si>
  <si>
    <t>Food Cost for Island Search</t>
  </si>
  <si>
    <t>Crew Size</t>
  </si>
  <si>
    <t>Food Cost</t>
  </si>
  <si>
    <t>Crew</t>
  </si>
  <si>
    <t>Factions are less trusting and less willing to give goods than civilian ships.</t>
  </si>
  <si>
    <t>Faction Trust</t>
  </si>
  <si>
    <t>Ship Decision at Trust:</t>
  </si>
  <si>
    <t>Starting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</si>
</sst>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Food Consumption By Sector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'Resources Over Sectors'!$G$4:$G$15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'Resources Over Sectors'!$H$4:$H$15</c:f>
              <c:numCache>
                <c:formatCode>General</c:formatCode>
                <c:ptCount val="12"/>
                <c:pt idx="0">
                  <c:v>6</c:v>
                </c:pt>
                <c:pt idx="1">
                  <c:v>8.5</c:v>
                </c:pt>
                <c:pt idx="2">
                  <c:v>11</c:v>
                </c:pt>
                <c:pt idx="3">
                  <c:v>13.5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68-4268-B0F5-610B608B0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095632"/>
        <c:axId val="2020749984"/>
      </c:scatterChart>
      <c:valAx>
        <c:axId val="2078095632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749984"/>
        <c:crosses val="autoZero"/>
        <c:crossBetween val="midCat"/>
        <c:majorUnit val="1"/>
      </c:valAx>
      <c:valAx>
        <c:axId val="202074998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95632"/>
        <c:crosses val="autoZero"/>
        <c:crossBetween val="midCat"/>
        <c:majorUnit val="4"/>
        <c:min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34293842916447"/>
          <c:y val="4.7197654734909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Cumulative Food Consumption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'Resources Over Sectors'!$G$4:$G$15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'Resources Over Sectors'!$I$4:$I$15</c:f>
              <c:numCache>
                <c:formatCode>General</c:formatCode>
                <c:ptCount val="12"/>
                <c:pt idx="0">
                  <c:v>6</c:v>
                </c:pt>
                <c:pt idx="1">
                  <c:v>14.5</c:v>
                </c:pt>
                <c:pt idx="2">
                  <c:v>25.5</c:v>
                </c:pt>
                <c:pt idx="3">
                  <c:v>39</c:v>
                </c:pt>
                <c:pt idx="4">
                  <c:v>55</c:v>
                </c:pt>
                <c:pt idx="5">
                  <c:v>71</c:v>
                </c:pt>
                <c:pt idx="6">
                  <c:v>87</c:v>
                </c:pt>
                <c:pt idx="7">
                  <c:v>103</c:v>
                </c:pt>
                <c:pt idx="8">
                  <c:v>119</c:v>
                </c:pt>
                <c:pt idx="9">
                  <c:v>135</c:v>
                </c:pt>
                <c:pt idx="10">
                  <c:v>151</c:v>
                </c:pt>
                <c:pt idx="11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1-4A70-A6FF-CDBA920BA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186144"/>
        <c:axId val="2028948720"/>
      </c:scatterChart>
      <c:valAx>
        <c:axId val="2020186144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948720"/>
        <c:crosses val="autoZero"/>
        <c:crossBetween val="midCat"/>
        <c:majorUnit val="1"/>
      </c:valAx>
      <c:valAx>
        <c:axId val="2028948720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86144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 Vs. Cannon Fire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Stats'!$F$29:$F$48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Stats'!$G$29:$G$48</c:f>
              <c:numCache>
                <c:formatCode>General</c:formatCode>
                <c:ptCount val="20"/>
                <c:pt idx="0">
                  <c:v>4</c:v>
                </c:pt>
                <c:pt idx="1">
                  <c:v>3.3415101784680519</c:v>
                </c:pt>
                <c:pt idx="2">
                  <c:v>2.9563183257652961</c:v>
                </c:pt>
                <c:pt idx="3">
                  <c:v>2.6830203569361037</c:v>
                </c:pt>
                <c:pt idx="4">
                  <c:v>2.4710339831876045</c:v>
                </c:pt>
                <c:pt idx="5">
                  <c:v>2.2978285042333479</c:v>
                </c:pt>
                <c:pt idx="6">
                  <c:v>2.1513853583974525</c:v>
                </c:pt>
                <c:pt idx="7">
                  <c:v>2.0245305354041561</c:v>
                </c:pt>
                <c:pt idx="8">
                  <c:v>1.9126366515305917</c:v>
                </c:pt>
                <c:pt idx="9">
                  <c:v>1.8125441616556563</c:v>
                </c:pt>
                <c:pt idx="10">
                  <c:v>1.7219994908415481</c:v>
                </c:pt>
                <c:pt idx="11">
                  <c:v>1.6393386827013998</c:v>
                </c:pt>
                <c:pt idx="12">
                  <c:v>1.5632981104115404</c:v>
                </c:pt>
                <c:pt idx="13">
                  <c:v>1.4928955368655048</c:v>
                </c:pt>
                <c:pt idx="14">
                  <c:v>1.4273523089529006</c:v>
                </c:pt>
                <c:pt idx="15">
                  <c:v>1.3660407138722079</c:v>
                </c:pt>
                <c:pt idx="16">
                  <c:v>1.308447323146595</c:v>
                </c:pt>
                <c:pt idx="17">
                  <c:v>1.254146829998644</c:v>
                </c:pt>
                <c:pt idx="18">
                  <c:v>1.2027829697918819</c:v>
                </c:pt>
                <c:pt idx="19">
                  <c:v>1.1540543401237087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1-4104-8592-A2FB57F03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494511"/>
        <c:axId val="2035923263"/>
      </c:scatterChart>
      <c:valAx>
        <c:axId val="2043494511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23263"/>
        <c:crosses val="autoZero"/>
        <c:crossBetween val="midCat"/>
        <c:majorUnit val="2"/>
      </c:valAx>
      <c:valAx>
        <c:axId val="2035923263"/>
        <c:scaling>
          <c:orientation val="minMax"/>
          <c:max val="4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49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Intelligence</a:t>
            </a:r>
            <a:r>
              <a:rPr lang="en-US" baseline="0"/>
              <a:t> Vs. Healing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Stats'!$O$29:$O$48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Stats'!$P$29:$P$48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2-4EA2-8238-440CEC1D3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610671"/>
        <c:axId val="2078444623"/>
      </c:scatterChart>
      <c:valAx>
        <c:axId val="1996610671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Intelligence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444623"/>
        <c:crosses val="autoZero"/>
        <c:crossBetween val="midCat"/>
        <c:majorUnit val="2"/>
      </c:valAx>
      <c:valAx>
        <c:axId val="2078444623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1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</a:t>
            </a:r>
            <a:r>
              <a:rPr lang="en-US" baseline="0"/>
              <a:t> Vs. Hit Chance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Stats'!$F$29:$F$48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Stats'!$H$29:$H$48</c:f>
              <c:numCache>
                <c:formatCode>General</c:formatCode>
                <c:ptCount val="20"/>
                <c:pt idx="0">
                  <c:v>5.4457967103925284</c:v>
                </c:pt>
                <c:pt idx="1">
                  <c:v>7.9014061669226265</c:v>
                </c:pt>
                <c:pt idx="2">
                  <c:v>11.324277592101183</c:v>
                </c:pt>
                <c:pt idx="3">
                  <c:v>15.958253412277173</c:v>
                </c:pt>
                <c:pt idx="4">
                  <c:v>21.990145567593316</c:v>
                </c:pt>
                <c:pt idx="5">
                  <c:v>29.452424292876813</c:v>
                </c:pt>
                <c:pt idx="6">
                  <c:v>38.124672289317061</c:v>
                </c:pt>
                <c:pt idx="7">
                  <c:v>47.5</c:v>
                </c:pt>
                <c:pt idx="8">
                  <c:v>56.875327710682939</c:v>
                </c:pt>
                <c:pt idx="9">
                  <c:v>65.547575707123187</c:v>
                </c:pt>
                <c:pt idx="10">
                  <c:v>73.009854432406684</c:v>
                </c:pt>
                <c:pt idx="11">
                  <c:v>79.041746587722827</c:v>
                </c:pt>
                <c:pt idx="12">
                  <c:v>83.675722407898832</c:v>
                </c:pt>
                <c:pt idx="13">
                  <c:v>87.098593833077373</c:v>
                </c:pt>
                <c:pt idx="14">
                  <c:v>89.554203289607472</c:v>
                </c:pt>
                <c:pt idx="15">
                  <c:v>91.279256334307391</c:v>
                </c:pt>
                <c:pt idx="16">
                  <c:v>92.473285610197749</c:v>
                </c:pt>
                <c:pt idx="17">
                  <c:v>93.291310053601308</c:v>
                </c:pt>
                <c:pt idx="18">
                  <c:v>93.847798676493952</c:v>
                </c:pt>
                <c:pt idx="19">
                  <c:v>94.224555740449816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D-43AA-BEB0-5ECF7D029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5117664"/>
        <c:axId val="1722201600"/>
      </c:scatterChart>
      <c:valAx>
        <c:axId val="1625117664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01600"/>
        <c:crosses val="autoZero"/>
        <c:crossBetween val="midCat"/>
        <c:majorUnit val="2"/>
      </c:valAx>
      <c:valAx>
        <c:axId val="172220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Chance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11766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</a:t>
            </a:r>
            <a:r>
              <a:rPr lang="en-US" baseline="0"/>
              <a:t> Vs. Attack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Stats'!$F$4:$F$23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Stats'!$G$4:$G$23</c:f>
              <c:numCache>
                <c:formatCode>General</c:formatCode>
                <c:ptCount val="20"/>
                <c:pt idx="0">
                  <c:v>1.4</c:v>
                </c:pt>
                <c:pt idx="1">
                  <c:v>0.98994949366116636</c:v>
                </c:pt>
                <c:pt idx="2">
                  <c:v>0.80829037686547611</c:v>
                </c:pt>
                <c:pt idx="3">
                  <c:v>0.7</c:v>
                </c:pt>
                <c:pt idx="4">
                  <c:v>0.62609903369994102</c:v>
                </c:pt>
                <c:pt idx="5">
                  <c:v>0.57154760664940829</c:v>
                </c:pt>
                <c:pt idx="6">
                  <c:v>0.52915026221291805</c:v>
                </c:pt>
                <c:pt idx="7">
                  <c:v>0.49497474683058318</c:v>
                </c:pt>
                <c:pt idx="8">
                  <c:v>0.46666666666666662</c:v>
                </c:pt>
                <c:pt idx="9">
                  <c:v>0.44271887242357305</c:v>
                </c:pt>
                <c:pt idx="10">
                  <c:v>0.42211588240886905</c:v>
                </c:pt>
                <c:pt idx="11">
                  <c:v>0.40414518843273806</c:v>
                </c:pt>
                <c:pt idx="12">
                  <c:v>0.38829013735766038</c:v>
                </c:pt>
                <c:pt idx="13">
                  <c:v>0.37416573867739411</c:v>
                </c:pt>
                <c:pt idx="14">
                  <c:v>0.36147844564602555</c:v>
                </c:pt>
                <c:pt idx="15">
                  <c:v>0.35</c:v>
                </c:pt>
                <c:pt idx="16">
                  <c:v>0.33954987505086615</c:v>
                </c:pt>
                <c:pt idx="17">
                  <c:v>0.32998316455372217</c:v>
                </c:pt>
                <c:pt idx="18">
                  <c:v>0.32118202741878643</c:v>
                </c:pt>
                <c:pt idx="19">
                  <c:v>0.31304951684997051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0-444A-9E4D-7681FF130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667871"/>
        <c:axId val="1989087023"/>
      </c:scatterChart>
      <c:valAx>
        <c:axId val="1993667871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87023"/>
        <c:crosses val="autoZero"/>
        <c:crossBetween val="midCat"/>
        <c:majorUnit val="2"/>
      </c:valAx>
      <c:valAx>
        <c:axId val="19890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Speed (Seconds)</a:t>
                </a:r>
              </a:p>
            </c:rich>
          </c:tx>
          <c:layout>
            <c:manualLayout>
              <c:xMode val="edge"/>
              <c:yMode val="edge"/>
              <c:x val="4.5905052447426063E-2"/>
              <c:y val="0.10890016920473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6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 Vs. Damage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Stats'!$F$4:$F$23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Stats'!$H$4:$H$23</c:f>
              <c:numCache>
                <c:formatCode>General</c:formatCode>
                <c:ptCount val="20"/>
                <c:pt idx="0">
                  <c:v>0.375</c:v>
                </c:pt>
                <c:pt idx="1">
                  <c:v>0.75</c:v>
                </c:pt>
                <c:pt idx="2">
                  <c:v>1.125</c:v>
                </c:pt>
                <c:pt idx="3">
                  <c:v>1.5</c:v>
                </c:pt>
                <c:pt idx="4">
                  <c:v>1.875</c:v>
                </c:pt>
                <c:pt idx="5">
                  <c:v>2.25</c:v>
                </c:pt>
                <c:pt idx="6">
                  <c:v>2.625</c:v>
                </c:pt>
                <c:pt idx="7">
                  <c:v>3</c:v>
                </c:pt>
                <c:pt idx="8">
                  <c:v>3.375</c:v>
                </c:pt>
                <c:pt idx="9">
                  <c:v>3.75</c:v>
                </c:pt>
                <c:pt idx="10">
                  <c:v>4.125</c:v>
                </c:pt>
                <c:pt idx="11">
                  <c:v>4.5</c:v>
                </c:pt>
                <c:pt idx="12">
                  <c:v>4.875</c:v>
                </c:pt>
                <c:pt idx="13">
                  <c:v>5.25</c:v>
                </c:pt>
                <c:pt idx="14">
                  <c:v>5.625</c:v>
                </c:pt>
                <c:pt idx="15">
                  <c:v>6</c:v>
                </c:pt>
                <c:pt idx="16">
                  <c:v>6.375</c:v>
                </c:pt>
                <c:pt idx="17">
                  <c:v>6.75</c:v>
                </c:pt>
                <c:pt idx="18">
                  <c:v>7.125</c:v>
                </c:pt>
                <c:pt idx="19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9-4A36-9855-E401E71E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670271"/>
        <c:axId val="1743146207"/>
      </c:scatterChart>
      <c:valAx>
        <c:axId val="1993670271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146207"/>
        <c:crosses val="autoZero"/>
        <c:crossBetween val="midCat"/>
        <c:majorUnit val="2"/>
      </c:valAx>
      <c:valAx>
        <c:axId val="174314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670271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</a:t>
            </a:r>
            <a:r>
              <a:rPr lang="en-US" baseline="0"/>
              <a:t> Vs. R</a:t>
            </a:r>
            <a:r>
              <a:rPr lang="en-US"/>
              <a:t>epair</a:t>
            </a:r>
            <a:r>
              <a:rPr lang="en-US" baseline="0"/>
              <a:t> Speed</a:t>
            </a:r>
          </a:p>
        </c:rich>
      </c:tx>
      <c:layout>
        <c:manualLayout>
          <c:xMode val="edge"/>
          <c:yMode val="edge"/>
          <c:x val="0.15846241071357536"/>
          <c:y val="3.7558685446009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Stats'!$O$4:$O$23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Stats'!$P$4:$P$23</c:f>
              <c:numCache>
                <c:formatCode>General</c:formatCode>
                <c:ptCount val="20"/>
                <c:pt idx="0">
                  <c:v>2.1</c:v>
                </c:pt>
                <c:pt idx="1">
                  <c:v>1.1000000000000001</c:v>
                </c:pt>
                <c:pt idx="2">
                  <c:v>0.76666666666666661</c:v>
                </c:pt>
                <c:pt idx="3">
                  <c:v>0.6</c:v>
                </c:pt>
                <c:pt idx="4">
                  <c:v>0.5</c:v>
                </c:pt>
                <c:pt idx="5">
                  <c:v>0.43333333333333335</c:v>
                </c:pt>
                <c:pt idx="6">
                  <c:v>0.38571428571428568</c:v>
                </c:pt>
                <c:pt idx="7">
                  <c:v>0.35</c:v>
                </c:pt>
                <c:pt idx="8">
                  <c:v>0.32222222222222219</c:v>
                </c:pt>
                <c:pt idx="9">
                  <c:v>0.30000000000000004</c:v>
                </c:pt>
                <c:pt idx="10">
                  <c:v>0.28181818181818186</c:v>
                </c:pt>
                <c:pt idx="11">
                  <c:v>0.26666666666666666</c:v>
                </c:pt>
                <c:pt idx="12">
                  <c:v>0.25384615384615383</c:v>
                </c:pt>
                <c:pt idx="13">
                  <c:v>0.24285714285714285</c:v>
                </c:pt>
                <c:pt idx="14">
                  <c:v>0.23333333333333334</c:v>
                </c:pt>
                <c:pt idx="15">
                  <c:v>0.22500000000000001</c:v>
                </c:pt>
                <c:pt idx="16">
                  <c:v>0.21764705882352942</c:v>
                </c:pt>
                <c:pt idx="17">
                  <c:v>0.21111111111111111</c:v>
                </c:pt>
                <c:pt idx="18">
                  <c:v>0.20526315789473684</c:v>
                </c:pt>
                <c:pt idx="1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7-4B41-A4CC-B008F4A47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80799"/>
        <c:axId val="1989084111"/>
      </c:scatterChart>
      <c:valAx>
        <c:axId val="2001480799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084111"/>
        <c:crosses val="autoZero"/>
        <c:crossBetween val="midCat"/>
        <c:majorUnit val="2"/>
      </c:valAx>
      <c:valAx>
        <c:axId val="198908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Repair Speed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8079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 Vs. Repair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Stats'!$O$4:$O$23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Stats'!$Q$4:$Q$23</c:f>
              <c:numCache>
                <c:formatCode>General</c:formatCode>
                <c:ptCount val="20"/>
                <c:pt idx="0">
                  <c:v>1.25</c:v>
                </c:pt>
                <c:pt idx="1">
                  <c:v>1.5</c:v>
                </c:pt>
                <c:pt idx="2">
                  <c:v>1.75</c:v>
                </c:pt>
                <c:pt idx="3">
                  <c:v>2</c:v>
                </c:pt>
                <c:pt idx="4">
                  <c:v>2.25</c:v>
                </c:pt>
                <c:pt idx="5">
                  <c:v>2.5</c:v>
                </c:pt>
                <c:pt idx="6">
                  <c:v>2.75</c:v>
                </c:pt>
                <c:pt idx="7">
                  <c:v>3</c:v>
                </c:pt>
                <c:pt idx="8">
                  <c:v>3.25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4.25</c:v>
                </c:pt>
                <c:pt idx="13">
                  <c:v>4.5</c:v>
                </c:pt>
                <c:pt idx="14">
                  <c:v>4.75</c:v>
                </c:pt>
                <c:pt idx="15">
                  <c:v>5</c:v>
                </c:pt>
                <c:pt idx="16">
                  <c:v>5.25</c:v>
                </c:pt>
                <c:pt idx="17">
                  <c:v>5.5</c:v>
                </c:pt>
                <c:pt idx="18">
                  <c:v>5.75</c:v>
                </c:pt>
                <c:pt idx="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E-4936-B574-40E9BA4D1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2032"/>
        <c:axId val="132115840"/>
      </c:scatterChart>
      <c:valAx>
        <c:axId val="62202032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5840"/>
        <c:crosses val="autoZero"/>
        <c:crossBetween val="midCat"/>
        <c:majorUnit val="2"/>
      </c:valAx>
      <c:valAx>
        <c:axId val="13211584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Repair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 Vs. End Sector Repair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Stats'!$O$4:$O$23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'Crew Stats'!$R$4:$R$23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5-4C11-878D-D75F3497F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397392"/>
        <c:axId val="2100136576"/>
      </c:scatterChart>
      <c:valAx>
        <c:axId val="2039397392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Dexterity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36576"/>
        <c:crosses val="autoZero"/>
        <c:crossBetween val="midCat"/>
        <c:majorUnit val="2"/>
      </c:valAx>
      <c:valAx>
        <c:axId val="210013657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 Sector Repair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39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</a:t>
            </a:r>
            <a:r>
              <a:rPr lang="en-US" baseline="0"/>
              <a:t> Starting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Stats'!$C$18:$C$32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'Crew Stats'!$D$18:$D$32</c:f>
              <c:numCache>
                <c:formatCode>General</c:formatCode>
                <c:ptCount val="15"/>
                <c:pt idx="0">
                  <c:v>4.3634134752288008E-4</c:v>
                </c:pt>
                <c:pt idx="1">
                  <c:v>2.2159242059690038E-3</c:v>
                </c:pt>
                <c:pt idx="2">
                  <c:v>8.7641502467842702E-3</c:v>
                </c:pt>
                <c:pt idx="3">
                  <c:v>2.6995483256594031E-2</c:v>
                </c:pt>
                <c:pt idx="4">
                  <c:v>6.4758797832945872E-2</c:v>
                </c:pt>
                <c:pt idx="5">
                  <c:v>0.12098536225957168</c:v>
                </c:pt>
                <c:pt idx="6">
                  <c:v>0.17603266338214976</c:v>
                </c:pt>
                <c:pt idx="7">
                  <c:v>0.19947114020071635</c:v>
                </c:pt>
                <c:pt idx="8">
                  <c:v>0.17603266338214976</c:v>
                </c:pt>
                <c:pt idx="9">
                  <c:v>0.12098536225957168</c:v>
                </c:pt>
                <c:pt idx="10">
                  <c:v>6.4758797832945872E-2</c:v>
                </c:pt>
                <c:pt idx="11">
                  <c:v>2.6995483256594031E-2</c:v>
                </c:pt>
                <c:pt idx="12">
                  <c:v>8.7641502467842702E-3</c:v>
                </c:pt>
                <c:pt idx="13">
                  <c:v>2.2159242059690038E-3</c:v>
                </c:pt>
                <c:pt idx="14">
                  <c:v>4.3634134752288008E-4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0-4D04-AED6-9D66EAC37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9584"/>
        <c:axId val="132110848"/>
      </c:scatterChart>
      <c:valAx>
        <c:axId val="129479584"/>
        <c:scaling>
          <c:orientation val="minMax"/>
          <c:max val="1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0848"/>
        <c:crosses val="autoZero"/>
        <c:crossBetween val="midCat"/>
        <c:majorUnit val="2"/>
      </c:valAx>
      <c:valAx>
        <c:axId val="13211084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9584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Intelligence</a:t>
            </a:r>
            <a:r>
              <a:rPr lang="en-US" baseline="0"/>
              <a:t> Starting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Stats'!$C$18:$C$32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'Crew Stats'!$D$18:$D$32</c:f>
              <c:numCache>
                <c:formatCode>General</c:formatCode>
                <c:ptCount val="15"/>
                <c:pt idx="0">
                  <c:v>4.3634134752288008E-4</c:v>
                </c:pt>
                <c:pt idx="1">
                  <c:v>2.2159242059690038E-3</c:v>
                </c:pt>
                <c:pt idx="2">
                  <c:v>8.7641502467842702E-3</c:v>
                </c:pt>
                <c:pt idx="3">
                  <c:v>2.6995483256594031E-2</c:v>
                </c:pt>
                <c:pt idx="4">
                  <c:v>6.4758797832945872E-2</c:v>
                </c:pt>
                <c:pt idx="5">
                  <c:v>0.12098536225957168</c:v>
                </c:pt>
                <c:pt idx="6">
                  <c:v>0.17603266338214976</c:v>
                </c:pt>
                <c:pt idx="7">
                  <c:v>0.19947114020071635</c:v>
                </c:pt>
                <c:pt idx="8">
                  <c:v>0.17603266338214976</c:v>
                </c:pt>
                <c:pt idx="9">
                  <c:v>0.12098536225957168</c:v>
                </c:pt>
                <c:pt idx="10">
                  <c:v>6.4758797832945872E-2</c:v>
                </c:pt>
                <c:pt idx="11">
                  <c:v>2.6995483256594031E-2</c:v>
                </c:pt>
                <c:pt idx="12">
                  <c:v>8.7641502467842702E-3</c:v>
                </c:pt>
                <c:pt idx="13">
                  <c:v>2.2159242059690038E-3</c:v>
                </c:pt>
                <c:pt idx="14">
                  <c:v>4.3634134752288008E-4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4-477D-8085-06DBAC9EE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9584"/>
        <c:axId val="132110848"/>
      </c:scatterChart>
      <c:valAx>
        <c:axId val="129479584"/>
        <c:scaling>
          <c:orientation val="minMax"/>
          <c:max val="1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0848"/>
        <c:crosses val="autoZero"/>
        <c:crossBetween val="midCat"/>
        <c:majorUnit val="2"/>
      </c:valAx>
      <c:valAx>
        <c:axId val="13211084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9584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Dexterity</a:t>
            </a:r>
            <a:r>
              <a:rPr lang="en-US" baseline="0"/>
              <a:t> Starting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'Crew Stats'!$C$52:$C$75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'Crew Stats'!$D$52:$D$75</c:f>
              <c:numCache>
                <c:formatCode>General</c:formatCode>
                <c:ptCount val="24"/>
                <c:pt idx="0">
                  <c:v>2.2733906253977632E-3</c:v>
                </c:pt>
                <c:pt idx="1">
                  <c:v>4.3820751233921351E-3</c:v>
                </c:pt>
                <c:pt idx="2">
                  <c:v>7.9349129589168545E-3</c:v>
                </c:pt>
                <c:pt idx="3">
                  <c:v>1.3497741628297016E-2</c:v>
                </c:pt>
                <c:pt idx="4">
                  <c:v>2.1569329706627883E-2</c:v>
                </c:pt>
                <c:pt idx="5">
                  <c:v>3.2379398916472936E-2</c:v>
                </c:pt>
                <c:pt idx="6">
                  <c:v>4.5662271347255479E-2</c:v>
                </c:pt>
                <c:pt idx="7">
                  <c:v>6.0492681129785841E-2</c:v>
                </c:pt>
                <c:pt idx="8">
                  <c:v>7.5284358038701107E-2</c:v>
                </c:pt>
                <c:pt idx="9">
                  <c:v>8.8016331691074881E-2</c:v>
                </c:pt>
                <c:pt idx="10">
                  <c:v>9.6667029200712309E-2</c:v>
                </c:pt>
                <c:pt idx="11">
                  <c:v>9.9735570100358176E-2</c:v>
                </c:pt>
                <c:pt idx="12">
                  <c:v>9.6667029200712309E-2</c:v>
                </c:pt>
                <c:pt idx="13">
                  <c:v>8.8016331691074881E-2</c:v>
                </c:pt>
                <c:pt idx="14">
                  <c:v>7.5284358038701107E-2</c:v>
                </c:pt>
                <c:pt idx="15">
                  <c:v>6.0492681129785841E-2</c:v>
                </c:pt>
                <c:pt idx="16">
                  <c:v>4.5662271347255479E-2</c:v>
                </c:pt>
                <c:pt idx="17">
                  <c:v>3.2379398916472936E-2</c:v>
                </c:pt>
                <c:pt idx="18">
                  <c:v>2.1569329706627883E-2</c:v>
                </c:pt>
                <c:pt idx="19">
                  <c:v>1.3497741628297016E-2</c:v>
                </c:pt>
                <c:pt idx="20">
                  <c:v>7.9349129589168545E-3</c:v>
                </c:pt>
                <c:pt idx="21">
                  <c:v>4.3820751233921351E-3</c:v>
                </c:pt>
                <c:pt idx="22">
                  <c:v>2.2733906253977632E-3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20-41D4-B4E2-1095722F1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79584"/>
        <c:axId val="132110848"/>
      </c:scatterChart>
      <c:valAx>
        <c:axId val="129479584"/>
        <c:scaling>
          <c:orientation val="minMax"/>
          <c:max val="2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0848"/>
        <c:crosses val="autoZero"/>
        <c:crossBetween val="midCat"/>
        <c:majorUnit val="2"/>
      </c:valAx>
      <c:valAx>
        <c:axId val="13211084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79584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Cannon Hits Vs. Damage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Damage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'Ship Stats'!$H$3:$H$27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'Ship Stats'!$I$3:$I$27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5A-43F4-9C30-B1F8D01D3FDD}"/>
            </c:ext>
          </c:extLst>
        </c:ser>
        <c:ser>
          <c:idx val="1"/>
          <c:order val="1"/>
          <c:tx>
            <c:v>Damage Repaired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'Ship Stats'!$H$3:$H$27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'Ship Stats'!$J$3:$J$27</c:f>
              <c:numCache>
                <c:formatCode>General</c:formatCode>
                <c:ptCount val="2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5A-43F4-9C30-B1F8D01D3FDD}"/>
            </c:ext>
          </c:extLst>
        </c:ser>
        <c:ser>
          <c:idx val="2"/>
          <c:order val="2"/>
          <c:tx>
            <c:v>Damage After Repair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'Ship Stats'!$H$3:$H$27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'Ship Stats'!$K$3:$K$27</c:f>
              <c:numCache>
                <c:formatCode>General</c:formatCode>
                <c:ptCount val="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5A-43F4-9C30-B1F8D01D3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04448"/>
        <c:axId val="354387664"/>
      </c:scatterChart>
      <c:valAx>
        <c:axId val="359204448"/>
        <c:scaling>
          <c:orientation val="minMax"/>
          <c:max val="2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Cannon 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87664"/>
        <c:crosses val="autoZero"/>
        <c:crossBetween val="midCat"/>
        <c:majorUnit val="1"/>
      </c:valAx>
      <c:valAx>
        <c:axId val="3543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20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Trust</a:t>
            </a:r>
            <a:r>
              <a:rPr lang="en-US" baseline="0"/>
              <a:t> Vs. Ship Decision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Flee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'Fishing Ship'!$E$3:$E$23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'Fishing Ship'!$F$3:$F$23</c:f>
              <c:numCache>
                <c:formatCode>General</c:formatCode>
                <c:ptCount val="21"/>
                <c:pt idx="0">
                  <c:v>100</c:v>
                </c:pt>
                <c:pt idx="1">
                  <c:v>93.5</c:v>
                </c:pt>
                <c:pt idx="2">
                  <c:v>87</c:v>
                </c:pt>
                <c:pt idx="3">
                  <c:v>80.5</c:v>
                </c:pt>
                <c:pt idx="4">
                  <c:v>74</c:v>
                </c:pt>
                <c:pt idx="5">
                  <c:v>67.5</c:v>
                </c:pt>
                <c:pt idx="6">
                  <c:v>61</c:v>
                </c:pt>
                <c:pt idx="7">
                  <c:v>54.500000000000007</c:v>
                </c:pt>
                <c:pt idx="8">
                  <c:v>48</c:v>
                </c:pt>
                <c:pt idx="9">
                  <c:v>41.499999999999993</c:v>
                </c:pt>
                <c:pt idx="10">
                  <c:v>35</c:v>
                </c:pt>
                <c:pt idx="11">
                  <c:v>28.499999999999986</c:v>
                </c:pt>
                <c:pt idx="12">
                  <c:v>22</c:v>
                </c:pt>
                <c:pt idx="13">
                  <c:v>15.499999999999986</c:v>
                </c:pt>
                <c:pt idx="14">
                  <c:v>9.0000000000000142</c:v>
                </c:pt>
                <c:pt idx="15">
                  <c:v>2.4999999999999858</c:v>
                </c:pt>
                <c:pt idx="16">
                  <c:v>-4</c:v>
                </c:pt>
                <c:pt idx="17">
                  <c:v>-10.5</c:v>
                </c:pt>
                <c:pt idx="18">
                  <c:v>-17.000000000000014</c:v>
                </c:pt>
                <c:pt idx="19">
                  <c:v>-23.499999999999986</c:v>
                </c:pt>
                <c:pt idx="20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E-4824-AAB5-45F7DD74E8E5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'Fishing Ship'!$E$3:$E$23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'Fishing Ship'!$G$3:$G$23</c:f>
              <c:numCache>
                <c:formatCode>General</c:formatCode>
                <c:ptCount val="21"/>
                <c:pt idx="0">
                  <c:v>120</c:v>
                </c:pt>
                <c:pt idx="1">
                  <c:v>113.5</c:v>
                </c:pt>
                <c:pt idx="2">
                  <c:v>107</c:v>
                </c:pt>
                <c:pt idx="3">
                  <c:v>100.5</c:v>
                </c:pt>
                <c:pt idx="4">
                  <c:v>94</c:v>
                </c:pt>
                <c:pt idx="5">
                  <c:v>87.5</c:v>
                </c:pt>
                <c:pt idx="6">
                  <c:v>81</c:v>
                </c:pt>
                <c:pt idx="7">
                  <c:v>74.5</c:v>
                </c:pt>
                <c:pt idx="8">
                  <c:v>68</c:v>
                </c:pt>
                <c:pt idx="9">
                  <c:v>61.499999999999993</c:v>
                </c:pt>
                <c:pt idx="10">
                  <c:v>55</c:v>
                </c:pt>
                <c:pt idx="11">
                  <c:v>48.499999999999986</c:v>
                </c:pt>
                <c:pt idx="12">
                  <c:v>42</c:v>
                </c:pt>
                <c:pt idx="13">
                  <c:v>35.499999999999986</c:v>
                </c:pt>
                <c:pt idx="14">
                  <c:v>29.000000000000014</c:v>
                </c:pt>
                <c:pt idx="15">
                  <c:v>22.499999999999986</c:v>
                </c:pt>
                <c:pt idx="16">
                  <c:v>16</c:v>
                </c:pt>
                <c:pt idx="17">
                  <c:v>9.5</c:v>
                </c:pt>
                <c:pt idx="18">
                  <c:v>2.9999999999999858</c:v>
                </c:pt>
                <c:pt idx="19">
                  <c:v>-3.4999999999999858</c:v>
                </c:pt>
                <c:pt idx="2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6E-4824-AAB5-45F7DD74E8E5}"/>
            </c:ext>
          </c:extLst>
        </c:ser>
        <c:ser>
          <c:idx val="2"/>
          <c:order val="2"/>
          <c:tx>
            <c:v>Player Offer Bonus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'Fishing Ship'!$E$3:$E$23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'Fishing Ship'!$H$3:$H$23</c:f>
              <c:numCache>
                <c:formatCode>General</c:formatCode>
                <c:ptCount val="21"/>
                <c:pt idx="0">
                  <c:v>115</c:v>
                </c:pt>
                <c:pt idx="1">
                  <c:v>108.5</c:v>
                </c:pt>
                <c:pt idx="2">
                  <c:v>102</c:v>
                </c:pt>
                <c:pt idx="3">
                  <c:v>95.5</c:v>
                </c:pt>
                <c:pt idx="4">
                  <c:v>89</c:v>
                </c:pt>
                <c:pt idx="5">
                  <c:v>82.5</c:v>
                </c:pt>
                <c:pt idx="6">
                  <c:v>76</c:v>
                </c:pt>
                <c:pt idx="7">
                  <c:v>69.5</c:v>
                </c:pt>
                <c:pt idx="8">
                  <c:v>63</c:v>
                </c:pt>
                <c:pt idx="9">
                  <c:v>56.499999999999993</c:v>
                </c:pt>
                <c:pt idx="10">
                  <c:v>50</c:v>
                </c:pt>
                <c:pt idx="11">
                  <c:v>43.499999999999986</c:v>
                </c:pt>
                <c:pt idx="12">
                  <c:v>37</c:v>
                </c:pt>
                <c:pt idx="13">
                  <c:v>30.499999999999986</c:v>
                </c:pt>
                <c:pt idx="14">
                  <c:v>24.000000000000014</c:v>
                </c:pt>
                <c:pt idx="15">
                  <c:v>17.499999999999986</c:v>
                </c:pt>
                <c:pt idx="16">
                  <c:v>11</c:v>
                </c:pt>
                <c:pt idx="17">
                  <c:v>4.5</c:v>
                </c:pt>
                <c:pt idx="18">
                  <c:v>-2.0000000000000142</c:v>
                </c:pt>
                <c:pt idx="19">
                  <c:v>-8.4999999999999858</c:v>
                </c:pt>
                <c:pt idx="20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6E-4824-AAB5-45F7DD74E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02175"/>
        <c:axId val="352557679"/>
      </c:scatterChart>
      <c:valAx>
        <c:axId val="47950217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57679"/>
        <c:crosses val="autoZero"/>
        <c:crossBetween val="midCat"/>
        <c:majorUnit val="0.1"/>
      </c:valAx>
      <c:valAx>
        <c:axId val="35255767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Breakpoint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0217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Lethality Vs.</a:t>
            </a:r>
            <a:r>
              <a:rPr lang="en-US" baseline="0"/>
              <a:t> Ship Decision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'Fishing Ship'!$R$3:$R$23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'Fishing Ship'!$S$3:$S$23</c:f>
              <c:numCache>
                <c:formatCode>General</c:formatCode>
                <c:ptCount val="21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34.999999999999993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  <c:pt idx="19">
                  <c:v>-5</c:v>
                </c:pt>
                <c:pt idx="2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50-411A-9E56-46874F3DB5A0}"/>
            </c:ext>
          </c:extLst>
        </c:ser>
        <c:ser>
          <c:idx val="1"/>
          <c:order val="1"/>
          <c:tx>
            <c:v>Give Goods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'Fishing Ship'!$R$3:$R$23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'Fishing Ship'!$T$3:$T$23</c:f>
              <c:numCache>
                <c:formatCode>General</c:formatCode>
                <c:ptCount val="21"/>
                <c:pt idx="0">
                  <c:v>110</c:v>
                </c:pt>
                <c:pt idx="1">
                  <c:v>105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85</c:v>
                </c:pt>
                <c:pt idx="6">
                  <c:v>80</c:v>
                </c:pt>
                <c:pt idx="7">
                  <c:v>75</c:v>
                </c:pt>
                <c:pt idx="8">
                  <c:v>70</c:v>
                </c:pt>
                <c:pt idx="9">
                  <c:v>65</c:v>
                </c:pt>
                <c:pt idx="10">
                  <c:v>60</c:v>
                </c:pt>
                <c:pt idx="11">
                  <c:v>54.999999999999993</c:v>
                </c:pt>
                <c:pt idx="12">
                  <c:v>50</c:v>
                </c:pt>
                <c:pt idx="13">
                  <c:v>45</c:v>
                </c:pt>
                <c:pt idx="14">
                  <c:v>40</c:v>
                </c:pt>
                <c:pt idx="15">
                  <c:v>35</c:v>
                </c:pt>
                <c:pt idx="16">
                  <c:v>30</c:v>
                </c:pt>
                <c:pt idx="17">
                  <c:v>25</c:v>
                </c:pt>
                <c:pt idx="18">
                  <c:v>20</c:v>
                </c:pt>
                <c:pt idx="19">
                  <c:v>15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50-411A-9E56-46874F3DB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731136"/>
        <c:axId val="1051494864"/>
      </c:scatterChart>
      <c:valAx>
        <c:axId val="1176731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Lethality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94864"/>
        <c:crosses val="autoZero"/>
        <c:crossBetween val="midCat"/>
        <c:majorUnit val="0.1"/>
      </c:valAx>
      <c:valAx>
        <c:axId val="10514948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Breakpoint Percentage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3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Trust</a:t>
            </a:r>
            <a:r>
              <a:rPr lang="en-US" baseline="0"/>
              <a:t> Vs. Ship Decision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Flee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'Merchant Ship'!$E$3:$E$23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'Merchant Ship'!$F$3:$F$23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44.999999999999993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F-425A-BBEB-C7BA58D5CF72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'Merchant Ship'!$E$3:$E$23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'Merchant Ship'!$G$3:$G$23</c:f>
              <c:numCache>
                <c:formatCode>General</c:formatCode>
                <c:ptCount val="21"/>
                <c:pt idx="0">
                  <c:v>120</c:v>
                </c:pt>
                <c:pt idx="1">
                  <c:v>115</c:v>
                </c:pt>
                <c:pt idx="2">
                  <c:v>110</c:v>
                </c:pt>
                <c:pt idx="3">
                  <c:v>105</c:v>
                </c:pt>
                <c:pt idx="4">
                  <c:v>100</c:v>
                </c:pt>
                <c:pt idx="5">
                  <c:v>95</c:v>
                </c:pt>
                <c:pt idx="6">
                  <c:v>90</c:v>
                </c:pt>
                <c:pt idx="7">
                  <c:v>85</c:v>
                </c:pt>
                <c:pt idx="8">
                  <c:v>80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60</c:v>
                </c:pt>
                <c:pt idx="13">
                  <c:v>55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35</c:v>
                </c:pt>
                <c:pt idx="18">
                  <c:v>30</c:v>
                </c:pt>
                <c:pt idx="19">
                  <c:v>25</c:v>
                </c:pt>
                <c:pt idx="2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F-425A-BBEB-C7BA58D5CF72}"/>
            </c:ext>
          </c:extLst>
        </c:ser>
        <c:ser>
          <c:idx val="2"/>
          <c:order val="2"/>
          <c:tx>
            <c:v>Player Offer Bonus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'Merchant Ship'!$E$3:$E$23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'Merchant Ship'!$H$3:$H$23</c:f>
              <c:numCache>
                <c:formatCode>General</c:formatCode>
                <c:ptCount val="21"/>
                <c:pt idx="0">
                  <c:v>115</c:v>
                </c:pt>
                <c:pt idx="1">
                  <c:v>110</c:v>
                </c:pt>
                <c:pt idx="2">
                  <c:v>105</c:v>
                </c:pt>
                <c:pt idx="3">
                  <c:v>100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4F-425A-BBEB-C7BA58D5C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502175"/>
        <c:axId val="352557679"/>
      </c:scatterChart>
      <c:valAx>
        <c:axId val="47950217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57679"/>
        <c:crosses val="autoZero"/>
        <c:crossBetween val="midCat"/>
        <c:majorUnit val="0.1"/>
      </c:valAx>
      <c:valAx>
        <c:axId val="35255767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Breakpoint</a:t>
                </a:r>
                <a:r>
                  <a:rPr lang="en-US" baseline="0"/>
                  <a:t>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02175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Lethality Vs.</a:t>
            </a:r>
            <a:r>
              <a:rPr lang="en-US" baseline="0"/>
              <a:t> Ship Decision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'Merchant Ship'!$R$3:$R$23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'Merchant Ship'!$S$3:$S$23</c:f>
              <c:numCache>
                <c:formatCode>General</c:formatCode>
                <c:ptCount val="21"/>
                <c:pt idx="0">
                  <c:v>80</c:v>
                </c:pt>
                <c:pt idx="1">
                  <c:v>75</c:v>
                </c:pt>
                <c:pt idx="2">
                  <c:v>70</c:v>
                </c:pt>
                <c:pt idx="3">
                  <c:v>65</c:v>
                </c:pt>
                <c:pt idx="4">
                  <c:v>60</c:v>
                </c:pt>
                <c:pt idx="5">
                  <c:v>55</c:v>
                </c:pt>
                <c:pt idx="6">
                  <c:v>50</c:v>
                </c:pt>
                <c:pt idx="7">
                  <c:v>45</c:v>
                </c:pt>
                <c:pt idx="8">
                  <c:v>40</c:v>
                </c:pt>
                <c:pt idx="9">
                  <c:v>35</c:v>
                </c:pt>
                <c:pt idx="10">
                  <c:v>30</c:v>
                </c:pt>
                <c:pt idx="11">
                  <c:v>24.999999999999993</c:v>
                </c:pt>
                <c:pt idx="12">
                  <c:v>20</c:v>
                </c:pt>
                <c:pt idx="13">
                  <c:v>15</c:v>
                </c:pt>
                <c:pt idx="14">
                  <c:v>10</c:v>
                </c:pt>
                <c:pt idx="15">
                  <c:v>5</c:v>
                </c:pt>
                <c:pt idx="16">
                  <c:v>0</c:v>
                </c:pt>
                <c:pt idx="17">
                  <c:v>-5</c:v>
                </c:pt>
                <c:pt idx="18">
                  <c:v>-10</c:v>
                </c:pt>
                <c:pt idx="19">
                  <c:v>-15</c:v>
                </c:pt>
                <c:pt idx="20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A0-4B8B-B478-CFD939B47104}"/>
            </c:ext>
          </c:extLst>
        </c:ser>
        <c:ser>
          <c:idx val="1"/>
          <c:order val="1"/>
          <c:tx>
            <c:v>Give Goods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'Merchant Ship'!$R$3:$R$23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'Merchant Ship'!$T$3:$T$23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44.999999999999993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0-4B8B-B478-CFD939B47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731136"/>
        <c:axId val="1051494864"/>
      </c:scatterChart>
      <c:valAx>
        <c:axId val="1176731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Lethality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94864"/>
        <c:crosses val="autoZero"/>
        <c:crossBetween val="midCat"/>
        <c:majorUnit val="0.1"/>
      </c:valAx>
      <c:valAx>
        <c:axId val="10514948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Breakpoint Percentage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3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Faction</a:t>
            </a:r>
            <a:r>
              <a:rPr lang="en-US" baseline="0"/>
              <a:t> Trust Vs. Ship Decision at 0 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Ship'!$F$3:$F$23</c:f>
              <c:numCache>
                <c:formatCode>General</c:formatCode>
                <c:ptCount val="21"/>
                <c:pt idx="0">
                  <c:v>106.33597115608045</c:v>
                </c:pt>
                <c:pt idx="1">
                  <c:v>105.10428465040447</c:v>
                </c:pt>
                <c:pt idx="2">
                  <c:v>103.4808046151978</c:v>
                </c:pt>
                <c:pt idx="3">
                  <c:v>101.35769745708163</c:v>
                </c:pt>
                <c:pt idx="4">
                  <c:v>98.609629873142978</c:v>
                </c:pt>
                <c:pt idx="5">
                  <c:v>95.099634747235299</c:v>
                </c:pt>
                <c:pt idx="6">
                  <c:v>90.691841864558157</c:v>
                </c:pt>
                <c:pt idx="7">
                  <c:v>85.272986069822707</c:v>
                </c:pt>
                <c:pt idx="8">
                  <c:v>78.782513199389712</c:v>
                </c:pt>
                <c:pt idx="9">
                  <c:v>71.246810140951553</c:v>
                </c:pt>
                <c:pt idx="10">
                  <c:v>62.807416400231816</c:v>
                </c:pt>
                <c:pt idx="11">
                  <c:v>53.729249664059736</c:v>
                </c:pt>
                <c:pt idx="12">
                  <c:v>44.377601565132501</c:v>
                </c:pt>
                <c:pt idx="13">
                  <c:v>35.164042485943497</c:v>
                </c:pt>
                <c:pt idx="14">
                  <c:v>26.476528478979226</c:v>
                </c:pt>
                <c:pt idx="15">
                  <c:v>18.617677671249389</c:v>
                </c:pt>
                <c:pt idx="16">
                  <c:v>11.770627119680178</c:v>
                </c:pt>
                <c:pt idx="17">
                  <c:v>5.9977018582594468</c:v>
                </c:pt>
                <c:pt idx="18">
                  <c:v>1.2635592953747263</c:v>
                </c:pt>
                <c:pt idx="19">
                  <c:v>-2.5311888600393573</c:v>
                </c:pt>
                <c:pt idx="20">
                  <c:v>-5.5177274973445556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9-4224-A4E8-5007345942DC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Ship'!$G$3:$G$23</c:f>
              <c:numCache>
                <c:formatCode>General</c:formatCode>
                <c:ptCount val="21"/>
                <c:pt idx="0">
                  <c:v>114.33597115608045</c:v>
                </c:pt>
                <c:pt idx="1">
                  <c:v>113.10428465040447</c:v>
                </c:pt>
                <c:pt idx="2">
                  <c:v>111.4808046151978</c:v>
                </c:pt>
                <c:pt idx="3">
                  <c:v>109.35769745708163</c:v>
                </c:pt>
                <c:pt idx="4">
                  <c:v>106.60962987314298</c:v>
                </c:pt>
                <c:pt idx="5">
                  <c:v>103.0996347472353</c:v>
                </c:pt>
                <c:pt idx="6">
                  <c:v>98.691841864558157</c:v>
                </c:pt>
                <c:pt idx="7">
                  <c:v>93.272986069822707</c:v>
                </c:pt>
                <c:pt idx="8">
                  <c:v>86.782513199389712</c:v>
                </c:pt>
                <c:pt idx="9">
                  <c:v>79.246810140951553</c:v>
                </c:pt>
                <c:pt idx="10">
                  <c:v>70.807416400231816</c:v>
                </c:pt>
                <c:pt idx="11">
                  <c:v>61.729249664059736</c:v>
                </c:pt>
                <c:pt idx="12">
                  <c:v>52.377601565132501</c:v>
                </c:pt>
                <c:pt idx="13">
                  <c:v>43.164042485943497</c:v>
                </c:pt>
                <c:pt idx="14">
                  <c:v>34.476528478979226</c:v>
                </c:pt>
                <c:pt idx="15">
                  <c:v>26.617677671249389</c:v>
                </c:pt>
                <c:pt idx="16">
                  <c:v>19.770627119680178</c:v>
                </c:pt>
                <c:pt idx="17">
                  <c:v>13.997701858259447</c:v>
                </c:pt>
                <c:pt idx="18">
                  <c:v>9.2635592953747263</c:v>
                </c:pt>
                <c:pt idx="19">
                  <c:v>5.4688111399606427</c:v>
                </c:pt>
                <c:pt idx="20">
                  <c:v>2.4822725026554444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9-4224-A4E8-500734594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61440"/>
        <c:axId val="1397771744"/>
      </c:scatterChart>
      <c:valAx>
        <c:axId val="1390661440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Faction</a:t>
                </a:r>
                <a:r>
                  <a:rPr lang="en-US" baseline="0"/>
                  <a:t> Trust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1744"/>
        <c:crosses val="autoZero"/>
        <c:crossBetween val="midCat"/>
        <c:majorUnit val="0.1"/>
      </c:valAx>
      <c:valAx>
        <c:axId val="13977717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Decision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61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Faction</a:t>
            </a:r>
            <a:r>
              <a:rPr lang="en-US" baseline="0"/>
              <a:t> Trust Vs. Ship Decision at 1 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Ship'!$F$28:$F$48</c:f>
              <c:numCache>
                <c:formatCode>General</c:formatCode>
                <c:ptCount val="21"/>
                <c:pt idx="0">
                  <c:v>100.51772749734457</c:v>
                </c:pt>
                <c:pt idx="1">
                  <c:v>97.53118886003935</c:v>
                </c:pt>
                <c:pt idx="2">
                  <c:v>93.736440704625267</c:v>
                </c:pt>
                <c:pt idx="3">
                  <c:v>89.002298141740553</c:v>
                </c:pt>
                <c:pt idx="4">
                  <c:v>83.229372880319829</c:v>
                </c:pt>
                <c:pt idx="5">
                  <c:v>76.382322328750604</c:v>
                </c:pt>
                <c:pt idx="6">
                  <c:v>68.523471521020767</c:v>
                </c:pt>
                <c:pt idx="7">
                  <c:v>59.835957514056503</c:v>
                </c:pt>
                <c:pt idx="8">
                  <c:v>50.622398434867506</c:v>
                </c:pt>
                <c:pt idx="9">
                  <c:v>41.270750335940264</c:v>
                </c:pt>
                <c:pt idx="10">
                  <c:v>32.192583599768177</c:v>
                </c:pt>
                <c:pt idx="11">
                  <c:v>23.75318985904844</c:v>
                </c:pt>
                <c:pt idx="12">
                  <c:v>16.217486800610295</c:v>
                </c:pt>
                <c:pt idx="13">
                  <c:v>9.7270139301772822</c:v>
                </c:pt>
                <c:pt idx="14">
                  <c:v>4.3081581354418361</c:v>
                </c:pt>
                <c:pt idx="15">
                  <c:v>-9.963474723530652E-2</c:v>
                </c:pt>
                <c:pt idx="16">
                  <c:v>-3.6096298731429801</c:v>
                </c:pt>
                <c:pt idx="17">
                  <c:v>-6.3576974570816454</c:v>
                </c:pt>
                <c:pt idx="18">
                  <c:v>-8.4808046151977852</c:v>
                </c:pt>
                <c:pt idx="19">
                  <c:v>-10.104284650404455</c:v>
                </c:pt>
                <c:pt idx="20">
                  <c:v>-11.335971156080459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4247-958C-499E6C171763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Ship'!$G$28:$G$48</c:f>
              <c:numCache>
                <c:formatCode>General</c:formatCode>
                <c:ptCount val="21"/>
                <c:pt idx="0">
                  <c:v>108.51772749734457</c:v>
                </c:pt>
                <c:pt idx="1">
                  <c:v>105.53118886003935</c:v>
                </c:pt>
                <c:pt idx="2">
                  <c:v>101.73644070462527</c:v>
                </c:pt>
                <c:pt idx="3">
                  <c:v>97.002298141740553</c:v>
                </c:pt>
                <c:pt idx="4">
                  <c:v>91.229372880319829</c:v>
                </c:pt>
                <c:pt idx="5">
                  <c:v>84.382322328750604</c:v>
                </c:pt>
                <c:pt idx="6">
                  <c:v>76.523471521020767</c:v>
                </c:pt>
                <c:pt idx="7">
                  <c:v>67.835957514056503</c:v>
                </c:pt>
                <c:pt idx="8">
                  <c:v>58.622398434867506</c:v>
                </c:pt>
                <c:pt idx="9">
                  <c:v>49.270750335940264</c:v>
                </c:pt>
                <c:pt idx="10">
                  <c:v>40.192583599768177</c:v>
                </c:pt>
                <c:pt idx="11">
                  <c:v>31.75318985904844</c:v>
                </c:pt>
                <c:pt idx="12">
                  <c:v>24.217486800610295</c:v>
                </c:pt>
                <c:pt idx="13">
                  <c:v>17.727013930177282</c:v>
                </c:pt>
                <c:pt idx="14">
                  <c:v>12.308158135441836</c:v>
                </c:pt>
                <c:pt idx="15">
                  <c:v>7.9003652527646935</c:v>
                </c:pt>
                <c:pt idx="16">
                  <c:v>4.3903701268570199</c:v>
                </c:pt>
                <c:pt idx="17">
                  <c:v>1.6423025429183546</c:v>
                </c:pt>
                <c:pt idx="18">
                  <c:v>-0.48080461519778517</c:v>
                </c:pt>
                <c:pt idx="19">
                  <c:v>-2.1042846504044554</c:v>
                </c:pt>
                <c:pt idx="20">
                  <c:v>-3.3359711560804599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EF-4247-958C-499E6C171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61440"/>
        <c:axId val="1397771744"/>
      </c:scatterChart>
      <c:valAx>
        <c:axId val="1390661440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Faction</a:t>
                </a:r>
                <a:r>
                  <a:rPr lang="en-US" baseline="0"/>
                  <a:t> Trust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1744"/>
        <c:crosses val="autoZero"/>
        <c:crossBetween val="midCat"/>
        <c:majorUnit val="0.1"/>
      </c:valAx>
      <c:valAx>
        <c:axId val="13977717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Decision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61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Faction</a:t>
            </a:r>
            <a:r>
              <a:rPr lang="en-US" baseline="0"/>
              <a:t> Trust Vs. Ship Decision at .25 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Ship'!$Q$3:$Q$23</c:f>
              <c:numCache>
                <c:formatCode>General</c:formatCode>
                <c:ptCount val="21"/>
                <c:pt idx="0">
                  <c:v>105.33413908198382</c:v>
                </c:pt>
                <c:pt idx="1">
                  <c:v>103.78293605518041</c:v>
                </c:pt>
                <c:pt idx="2">
                  <c:v>101.75137381359765</c:v>
                </c:pt>
                <c:pt idx="3">
                  <c:v>99.116778444966087</c:v>
                </c:pt>
                <c:pt idx="4">
                  <c:v>95.743452340026138</c:v>
                </c:pt>
                <c:pt idx="5">
                  <c:v>91.494100246038826</c:v>
                </c:pt>
                <c:pt idx="6">
                  <c:v>86.24980424808588</c:v>
                </c:pt>
                <c:pt idx="7">
                  <c:v>79.938864618638874</c:v>
                </c:pt>
                <c:pt idx="8">
                  <c:v>72.570892809246629</c:v>
                </c:pt>
                <c:pt idx="9">
                  <c:v>64.266948876350085</c:v>
                </c:pt>
                <c:pt idx="10">
                  <c:v>55.27206261072476</c:v>
                </c:pt>
                <c:pt idx="11">
                  <c:v>45.937825439473698</c:v>
                </c:pt>
                <c:pt idx="12">
                  <c:v>36.672802635333746</c:v>
                </c:pt>
                <c:pt idx="13">
                  <c:v>27.873692165812656</c:v>
                </c:pt>
                <c:pt idx="14">
                  <c:v>19.86060274714211</c:v>
                </c:pt>
                <c:pt idx="15">
                  <c:v>12.837517353163605</c:v>
                </c:pt>
                <c:pt idx="16">
                  <c:v>6.8857835205049831</c:v>
                </c:pt>
                <c:pt idx="17">
                  <c:v>1.9841121261367896</c:v>
                </c:pt>
                <c:pt idx="18">
                  <c:v>-1.9585971101248418</c:v>
                </c:pt>
                <c:pt idx="19">
                  <c:v>-5.0701813520027059</c:v>
                </c:pt>
                <c:pt idx="20">
                  <c:v>-7.4891687282490462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8-4D5A-BF5E-F0497553BAE3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Ship'!$R$3:$R$23</c:f>
              <c:numCache>
                <c:formatCode>General</c:formatCode>
                <c:ptCount val="21"/>
                <c:pt idx="0">
                  <c:v>113.33413908198382</c:v>
                </c:pt>
                <c:pt idx="1">
                  <c:v>111.78293605518041</c:v>
                </c:pt>
                <c:pt idx="2">
                  <c:v>109.75137381359765</c:v>
                </c:pt>
                <c:pt idx="3">
                  <c:v>107.11677844496609</c:v>
                </c:pt>
                <c:pt idx="4">
                  <c:v>103.74345234002614</c:v>
                </c:pt>
                <c:pt idx="5">
                  <c:v>99.494100246038826</c:v>
                </c:pt>
                <c:pt idx="6">
                  <c:v>94.24980424808588</c:v>
                </c:pt>
                <c:pt idx="7">
                  <c:v>87.938864618638874</c:v>
                </c:pt>
                <c:pt idx="8">
                  <c:v>80.570892809246629</c:v>
                </c:pt>
                <c:pt idx="9">
                  <c:v>72.266948876350085</c:v>
                </c:pt>
                <c:pt idx="10">
                  <c:v>63.27206261072476</c:v>
                </c:pt>
                <c:pt idx="11">
                  <c:v>53.937825439473698</c:v>
                </c:pt>
                <c:pt idx="12">
                  <c:v>44.672802635333746</c:v>
                </c:pt>
                <c:pt idx="13">
                  <c:v>35.873692165812656</c:v>
                </c:pt>
                <c:pt idx="14">
                  <c:v>27.86060274714211</c:v>
                </c:pt>
                <c:pt idx="15">
                  <c:v>20.837517353163605</c:v>
                </c:pt>
                <c:pt idx="16">
                  <c:v>14.885783520504983</c:v>
                </c:pt>
                <c:pt idx="17">
                  <c:v>9.9841121261367896</c:v>
                </c:pt>
                <c:pt idx="18">
                  <c:v>6.0414028898751582</c:v>
                </c:pt>
                <c:pt idx="19">
                  <c:v>2.9298186479972941</c:v>
                </c:pt>
                <c:pt idx="20">
                  <c:v>0.51083127175095377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8-4D5A-BF5E-F0497553B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61440"/>
        <c:axId val="1397771744"/>
      </c:scatterChart>
      <c:valAx>
        <c:axId val="1390661440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Faction</a:t>
                </a:r>
                <a:r>
                  <a:rPr lang="en-US" baseline="0"/>
                  <a:t> Trust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1744"/>
        <c:crosses val="autoZero"/>
        <c:crossBetween val="midCat"/>
        <c:majorUnit val="0.1"/>
      </c:valAx>
      <c:valAx>
        <c:axId val="13977717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Decision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61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Faction</a:t>
            </a:r>
            <a:r>
              <a:rPr lang="en-US" baseline="0"/>
              <a:t> Trust Vs. Ship Decision at .75 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Ship'!$Q$28:$Q$48</c:f>
              <c:numCache>
                <c:formatCode>General</c:formatCode>
                <c:ptCount val="21"/>
                <c:pt idx="0">
                  <c:v>102.48916872824904</c:v>
                </c:pt>
                <c:pt idx="1">
                  <c:v>100.07018135200269</c:v>
                </c:pt>
                <c:pt idx="2">
                  <c:v>96.958597110124842</c:v>
                </c:pt>
                <c:pt idx="3">
                  <c:v>93.015887873863221</c:v>
                </c:pt>
                <c:pt idx="4">
                  <c:v>88.114216479495013</c:v>
                </c:pt>
                <c:pt idx="5">
                  <c:v>82.162482646836395</c:v>
                </c:pt>
                <c:pt idx="6">
                  <c:v>75.13939725285789</c:v>
                </c:pt>
                <c:pt idx="7">
                  <c:v>67.126307834187344</c:v>
                </c:pt>
                <c:pt idx="8">
                  <c:v>58.327197364666262</c:v>
                </c:pt>
                <c:pt idx="9">
                  <c:v>49.062174560526287</c:v>
                </c:pt>
                <c:pt idx="10">
                  <c:v>39.72793738927524</c:v>
                </c:pt>
                <c:pt idx="11">
                  <c:v>30.733051123649915</c:v>
                </c:pt>
                <c:pt idx="12">
                  <c:v>22.429107190753378</c:v>
                </c:pt>
                <c:pt idx="13">
                  <c:v>15.061135381361122</c:v>
                </c:pt>
                <c:pt idx="14">
                  <c:v>8.7501957519141165</c:v>
                </c:pt>
                <c:pt idx="15">
                  <c:v>3.5058997539611845</c:v>
                </c:pt>
                <c:pt idx="16">
                  <c:v>-0.74345234002614013</c:v>
                </c:pt>
                <c:pt idx="17">
                  <c:v>-4.1167784449660889</c:v>
                </c:pt>
                <c:pt idx="18">
                  <c:v>-6.751373813597656</c:v>
                </c:pt>
                <c:pt idx="19">
                  <c:v>-8.7829360551804108</c:v>
                </c:pt>
                <c:pt idx="20">
                  <c:v>-10.334139081983817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3C-4887-BC42-799285CE8626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Ship'!$R$28:$R$48</c:f>
              <c:numCache>
                <c:formatCode>General</c:formatCode>
                <c:ptCount val="21"/>
                <c:pt idx="0">
                  <c:v>110.48916872824904</c:v>
                </c:pt>
                <c:pt idx="1">
                  <c:v>108.07018135200269</c:v>
                </c:pt>
                <c:pt idx="2">
                  <c:v>104.95859711012484</c:v>
                </c:pt>
                <c:pt idx="3">
                  <c:v>101.01588787386322</c:v>
                </c:pt>
                <c:pt idx="4">
                  <c:v>96.114216479495013</c:v>
                </c:pt>
                <c:pt idx="5">
                  <c:v>90.162482646836395</c:v>
                </c:pt>
                <c:pt idx="6">
                  <c:v>83.13939725285789</c:v>
                </c:pt>
                <c:pt idx="7">
                  <c:v>75.126307834187344</c:v>
                </c:pt>
                <c:pt idx="8">
                  <c:v>66.327197364666262</c:v>
                </c:pt>
                <c:pt idx="9">
                  <c:v>57.062174560526287</c:v>
                </c:pt>
                <c:pt idx="10">
                  <c:v>47.72793738927524</c:v>
                </c:pt>
                <c:pt idx="11">
                  <c:v>38.733051123649915</c:v>
                </c:pt>
                <c:pt idx="12">
                  <c:v>30.429107190753378</c:v>
                </c:pt>
                <c:pt idx="13">
                  <c:v>23.061135381361122</c:v>
                </c:pt>
                <c:pt idx="14">
                  <c:v>16.750195751914116</c:v>
                </c:pt>
                <c:pt idx="15">
                  <c:v>11.505899753961184</c:v>
                </c:pt>
                <c:pt idx="16">
                  <c:v>7.2565476599738599</c:v>
                </c:pt>
                <c:pt idx="17">
                  <c:v>3.8832215550339111</c:v>
                </c:pt>
                <c:pt idx="18">
                  <c:v>1.248626186402344</c:v>
                </c:pt>
                <c:pt idx="19">
                  <c:v>-0.78293605518041076</c:v>
                </c:pt>
                <c:pt idx="20">
                  <c:v>-2.3341390819838175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3C-4887-BC42-799285CE8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61440"/>
        <c:axId val="1397771744"/>
      </c:scatterChart>
      <c:valAx>
        <c:axId val="1390661440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Faction</a:t>
                </a:r>
                <a:r>
                  <a:rPr lang="en-US" baseline="0"/>
                  <a:t> Trust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1744"/>
        <c:crosses val="autoZero"/>
        <c:crossBetween val="midCat"/>
        <c:majorUnit val="0.1"/>
      </c:valAx>
      <c:valAx>
        <c:axId val="13977717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Decision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61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Faction</a:t>
            </a:r>
            <a:r>
              <a:rPr lang="en-US" baseline="0"/>
              <a:t> Trust Vs. Ship Decision at .5 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Ship'!$AB$3:$AB$23</c:f>
              <c:numCache>
                <c:formatCode>General</c:formatCode>
                <c:ptCount val="21"/>
                <c:pt idx="0">
                  <c:v>104.07176585280416</c:v>
                </c:pt>
                <c:pt idx="1">
                  <c:v>102.12833049287545</c:v>
                </c:pt>
                <c:pt idx="2">
                  <c:v>99.603412938259709</c:v>
                </c:pt>
                <c:pt idx="3">
                  <c:v>96.362897350548394</c:v>
                </c:pt>
                <c:pt idx="4">
                  <c:v>92.268616887439038</c:v>
                </c:pt>
                <c:pt idx="5">
                  <c:v>87.196809524205449</c:v>
                </c:pt>
                <c:pt idx="6">
                  <c:v>81.06559793737722</c:v>
                </c:pt>
                <c:pt idx="7">
                  <c:v>73.868687828125488</c:v>
                </c:pt>
                <c:pt idx="8">
                  <c:v>65.707038278224431</c:v>
                </c:pt>
                <c:pt idx="9">
                  <c:v>56.805314601457383</c:v>
                </c:pt>
                <c:pt idx="10">
                  <c:v>47.5</c:v>
                </c:pt>
                <c:pt idx="11">
                  <c:v>38.194685398542624</c:v>
                </c:pt>
                <c:pt idx="12">
                  <c:v>29.292961721775569</c:v>
                </c:pt>
                <c:pt idx="13">
                  <c:v>21.131312171874505</c:v>
                </c:pt>
                <c:pt idx="14">
                  <c:v>13.934402062622791</c:v>
                </c:pt>
                <c:pt idx="15">
                  <c:v>7.8031904757945441</c:v>
                </c:pt>
                <c:pt idx="16">
                  <c:v>2.7313831125609767</c:v>
                </c:pt>
                <c:pt idx="17">
                  <c:v>-1.3628973505483764</c:v>
                </c:pt>
                <c:pt idx="18">
                  <c:v>-4.6034129382597069</c:v>
                </c:pt>
                <c:pt idx="19">
                  <c:v>-7.1283304928754401</c:v>
                </c:pt>
                <c:pt idx="20">
                  <c:v>-9.0717658528041518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5-404A-B703-4613FE1F7B3F}"/>
            </c:ext>
          </c:extLst>
        </c:ser>
        <c:ser>
          <c:idx val="1"/>
          <c:order val="1"/>
          <c:tx>
            <c:v>Parley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'Faction Ship'!$E$3:$E$23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'Faction Ship'!$AC$3:$AC$23</c:f>
              <c:numCache>
                <c:formatCode>General</c:formatCode>
                <c:ptCount val="21"/>
                <c:pt idx="0">
                  <c:v>112.07176585280416</c:v>
                </c:pt>
                <c:pt idx="1">
                  <c:v>110.12833049287545</c:v>
                </c:pt>
                <c:pt idx="2">
                  <c:v>107.60341293825971</c:v>
                </c:pt>
                <c:pt idx="3">
                  <c:v>104.36289735054839</c:v>
                </c:pt>
                <c:pt idx="4">
                  <c:v>100.26861688743904</c:v>
                </c:pt>
                <c:pt idx="5">
                  <c:v>95.196809524205449</c:v>
                </c:pt>
                <c:pt idx="6">
                  <c:v>89.06559793737722</c:v>
                </c:pt>
                <c:pt idx="7">
                  <c:v>81.868687828125488</c:v>
                </c:pt>
                <c:pt idx="8">
                  <c:v>73.707038278224431</c:v>
                </c:pt>
                <c:pt idx="9">
                  <c:v>64.805314601457383</c:v>
                </c:pt>
                <c:pt idx="10">
                  <c:v>55.5</c:v>
                </c:pt>
                <c:pt idx="11">
                  <c:v>46.194685398542624</c:v>
                </c:pt>
                <c:pt idx="12">
                  <c:v>37.292961721775569</c:v>
                </c:pt>
                <c:pt idx="13">
                  <c:v>29.131312171874505</c:v>
                </c:pt>
                <c:pt idx="14">
                  <c:v>21.934402062622791</c:v>
                </c:pt>
                <c:pt idx="15">
                  <c:v>15.803190475794544</c:v>
                </c:pt>
                <c:pt idx="16">
                  <c:v>10.731383112560977</c:v>
                </c:pt>
                <c:pt idx="17">
                  <c:v>6.6371026494516236</c:v>
                </c:pt>
                <c:pt idx="18">
                  <c:v>3.3965870617402931</c:v>
                </c:pt>
                <c:pt idx="19">
                  <c:v>0.87166950712455993</c:v>
                </c:pt>
                <c:pt idx="20">
                  <c:v>-1.0717658528041527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5-404A-B703-4613FE1F7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61440"/>
        <c:axId val="1397771744"/>
      </c:scatterChart>
      <c:valAx>
        <c:axId val="1390661440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Faction</a:t>
                </a:r>
                <a:r>
                  <a:rPr lang="en-US" baseline="0"/>
                  <a:t> Trust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771744"/>
        <c:crosses val="autoZero"/>
        <c:crossBetween val="midCat"/>
        <c:majorUnit val="0.1"/>
      </c:valAx>
      <c:valAx>
        <c:axId val="13977717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Decision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614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Pact</a:t>
            </a:r>
            <a:r>
              <a:rPr lang="en-US" baseline="0"/>
              <a:t> Acceptance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val>
            <c:numRef>
              <c:f>'Faction Ship'!$AC$28:$AC$38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9-4B3E-85D0-72C011AE01ED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val>
            <c:numRef>
              <c:f>'Faction Ship'!$AB$28:$AB$38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  <c:pt idx="5">
                  <c:v>0.6</c:v>
                </c:pt>
                <c:pt idx="6">
                  <c:v>0.4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9-4B3E-85D0-72C011AE0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981504"/>
        <c:axId val="1509298000"/>
      </c:areaChart>
      <c:catAx>
        <c:axId val="15149815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2980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50929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981504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Lethality Vs.</a:t>
            </a:r>
            <a:r>
              <a:rPr lang="en-US" baseline="0"/>
              <a:t> Ship Decision</a:t>
            </a:r>
            <a:endParaRPr lang="en-US"/>
          </a:p>
        </c:rich>
      </c:tx>
      <c:layout>
        <c:manualLayout>
          <c:xMode val="edge"/>
          <c:yMode val="edge"/>
          <c:x val="0.320388888888888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Engage Breakline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'Faction Ship'!$AM$3:$AM$23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'Faction Ship'!$AN$3:$AN$23</c:f>
              <c:numCache>
                <c:formatCode>General</c:formatCode>
                <c:ptCount val="21"/>
                <c:pt idx="0">
                  <c:v>130</c:v>
                </c:pt>
                <c:pt idx="1">
                  <c:v>123.5</c:v>
                </c:pt>
                <c:pt idx="2">
                  <c:v>117</c:v>
                </c:pt>
                <c:pt idx="3">
                  <c:v>110.5</c:v>
                </c:pt>
                <c:pt idx="4">
                  <c:v>104</c:v>
                </c:pt>
                <c:pt idx="5">
                  <c:v>97.5</c:v>
                </c:pt>
                <c:pt idx="6">
                  <c:v>91</c:v>
                </c:pt>
                <c:pt idx="7">
                  <c:v>84.5</c:v>
                </c:pt>
                <c:pt idx="8">
                  <c:v>78</c:v>
                </c:pt>
                <c:pt idx="9">
                  <c:v>71.5</c:v>
                </c:pt>
                <c:pt idx="10">
                  <c:v>65</c:v>
                </c:pt>
                <c:pt idx="11">
                  <c:v>58.5</c:v>
                </c:pt>
                <c:pt idx="12">
                  <c:v>52</c:v>
                </c:pt>
                <c:pt idx="13">
                  <c:v>45.5</c:v>
                </c:pt>
                <c:pt idx="14">
                  <c:v>39</c:v>
                </c:pt>
                <c:pt idx="15">
                  <c:v>32.5</c:v>
                </c:pt>
                <c:pt idx="16">
                  <c:v>26</c:v>
                </c:pt>
                <c:pt idx="17">
                  <c:v>19.5</c:v>
                </c:pt>
                <c:pt idx="18">
                  <c:v>13</c:v>
                </c:pt>
                <c:pt idx="19">
                  <c:v>6.5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3-43D1-BA30-9D2AF413A0B2}"/>
            </c:ext>
          </c:extLst>
        </c:ser>
        <c:ser>
          <c:idx val="1"/>
          <c:order val="1"/>
          <c:tx>
            <c:v>Give Goods Breakline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'Faction Ship'!$AM$3:$AM$23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'Faction Ship'!$AO$3:$AO$23</c:f>
              <c:numCache>
                <c:formatCode>General</c:formatCode>
                <c:ptCount val="21"/>
                <c:pt idx="0">
                  <c:v>140</c:v>
                </c:pt>
                <c:pt idx="1">
                  <c:v>133.5</c:v>
                </c:pt>
                <c:pt idx="2">
                  <c:v>127</c:v>
                </c:pt>
                <c:pt idx="3">
                  <c:v>120.5</c:v>
                </c:pt>
                <c:pt idx="4">
                  <c:v>114</c:v>
                </c:pt>
                <c:pt idx="5">
                  <c:v>107.5</c:v>
                </c:pt>
                <c:pt idx="6">
                  <c:v>101</c:v>
                </c:pt>
                <c:pt idx="7">
                  <c:v>94.5</c:v>
                </c:pt>
                <c:pt idx="8">
                  <c:v>88</c:v>
                </c:pt>
                <c:pt idx="9">
                  <c:v>81.5</c:v>
                </c:pt>
                <c:pt idx="10">
                  <c:v>75</c:v>
                </c:pt>
                <c:pt idx="11">
                  <c:v>68.5</c:v>
                </c:pt>
                <c:pt idx="12">
                  <c:v>62</c:v>
                </c:pt>
                <c:pt idx="13">
                  <c:v>55.5</c:v>
                </c:pt>
                <c:pt idx="14">
                  <c:v>49</c:v>
                </c:pt>
                <c:pt idx="15">
                  <c:v>42.5</c:v>
                </c:pt>
                <c:pt idx="16">
                  <c:v>36</c:v>
                </c:pt>
                <c:pt idx="17">
                  <c:v>29.5</c:v>
                </c:pt>
                <c:pt idx="18">
                  <c:v>23</c:v>
                </c:pt>
                <c:pt idx="19">
                  <c:v>16.5</c:v>
                </c:pt>
                <c:pt idx="2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33-43D1-BA30-9D2AF413A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731136"/>
        <c:axId val="1051494864"/>
      </c:scatterChart>
      <c:valAx>
        <c:axId val="1176731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Lethality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494864"/>
        <c:crosses val="autoZero"/>
        <c:crossBetween val="midCat"/>
        <c:majorUnit val="0.1"/>
      </c:valAx>
      <c:valAx>
        <c:axId val="10514948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Breakpoint Percentage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73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Crew Size Vs. Food Cost for Island</a:t>
            </a:r>
            <a:r>
              <a:rPr lang="en-US" baseline="0"/>
              <a:t> Search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'Island Resources'!$F$3:$F$12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'Island Resources'!$G$3:$G$12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7-40D9-B2B1-1048FA9CA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723759"/>
        <c:axId val="324984223"/>
      </c:scatterChart>
      <c:valAx>
        <c:axId val="502723759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Crew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84223"/>
        <c:crosses val="autoZero"/>
        <c:crossBetween val="midCat"/>
        <c:majorUnit val="1"/>
      </c:valAx>
      <c:valAx>
        <c:axId val="324984223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72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15</xdr:row>
      <xdr:rowOff>104774</xdr:rowOff>
    </xdr:from>
    <xdr:to>
      <xdr:col>7</xdr:col>
      <xdr:colOff>828675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C631F1-5250-4B14-ABBA-DC29C32DC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847726</xdr:colOff>
      <xdr:row>15</xdr:row>
      <xdr:rowOff>114300</xdr:rowOff>
    </xdr:from>
    <xdr:to>
      <xdr:col>9</xdr:col>
      <xdr:colOff>571501</xdr:colOff>
      <xdr:row>25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CBD6B7-870D-4E9E-A7BC-2DF4C91CC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</xdr:colOff>
      <xdr:row>28</xdr:row>
      <xdr:rowOff>38099</xdr:rowOff>
    </xdr:from>
    <xdr:to>
      <xdr:col>12</xdr:col>
      <xdr:colOff>600075</xdr:colOff>
      <xdr:row>39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2B02FD-F40B-444A-960F-E8CDBBA98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52387</xdr:colOff>
      <xdr:row>28</xdr:row>
      <xdr:rowOff>28576</xdr:rowOff>
    </xdr:from>
    <xdr:to>
      <xdr:col>20</xdr:col>
      <xdr:colOff>371475</xdr:colOff>
      <xdr:row>39</xdr:row>
      <xdr:rowOff>119062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BC6295-0992-45E9-8A6C-9DB0F86A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28574</xdr:colOff>
      <xdr:row>41</xdr:row>
      <xdr:rowOff>28575</xdr:rowOff>
    </xdr:from>
    <xdr:to>
      <xdr:col>12</xdr:col>
      <xdr:colOff>552449</xdr:colOff>
      <xdr:row>52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3DF391-B757-4011-BC5D-DACC602FE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42861</xdr:colOff>
      <xdr:row>3</xdr:row>
      <xdr:rowOff>38099</xdr:rowOff>
    </xdr:from>
    <xdr:to>
      <xdr:col>12</xdr:col>
      <xdr:colOff>523875</xdr:colOff>
      <xdr:row>13</xdr:row>
      <xdr:rowOff>9524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E28F6A2-A154-45AF-98FC-1D4975E41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66675</xdr:colOff>
      <xdr:row>14</xdr:row>
      <xdr:rowOff>23812</xdr:rowOff>
    </xdr:from>
    <xdr:to>
      <xdr:col>12</xdr:col>
      <xdr:colOff>533400</xdr:colOff>
      <xdr:row>24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0FC6C99-384E-41A0-B5D5-8FE62B3A5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42862</xdr:colOff>
      <xdr:row>3</xdr:row>
      <xdr:rowOff>19050</xdr:rowOff>
    </xdr:from>
    <xdr:to>
      <xdr:col>22</xdr:col>
      <xdr:colOff>552449</xdr:colOff>
      <xdr:row>13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1DF9FD4-1725-4D88-A162-91CFFE8BB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19050</xdr:colOff>
      <xdr:row>14</xdr:row>
      <xdr:rowOff>180976</xdr:rowOff>
    </xdr:from>
    <xdr:to>
      <xdr:col>22</xdr:col>
      <xdr:colOff>590550</xdr:colOff>
      <xdr:row>25</xdr:row>
      <xdr:rowOff>42862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EFB3A08-AFCF-4F3E-AAC5-DBFC68FC1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604837</xdr:colOff>
      <xdr:row>3</xdr:row>
      <xdr:rowOff>28574</xdr:rowOff>
    </xdr:from>
    <xdr:to>
      <xdr:col>28</xdr:col>
      <xdr:colOff>352425</xdr:colOff>
      <xdr:row>16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704E99-B73A-4669-942A-ABD49AF8C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1</xdr:col>
      <xdr:colOff>561975</xdr:colOff>
      <xdr:row>25</xdr:row>
      <xdr:rowOff>138111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307C768-62F4-4B2A-9ECF-3C3A9495C1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1</xdr:col>
      <xdr:colOff>561975</xdr:colOff>
      <xdr:row>42</xdr:row>
      <xdr:rowOff>138111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521E1D1-950F-4CF0-A1AC-12BC0C1C42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1</xdr:col>
      <xdr:colOff>561975</xdr:colOff>
      <xdr:row>59</xdr:row>
      <xdr:rowOff>138111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238B5E0-C07A-43F0-B1FD-1DC1CFA6B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</xdr:row>
      <xdr:rowOff>152400</xdr:rowOff>
    </xdr:from>
    <xdr:to>
      <xdr:col>18</xdr:col>
      <xdr:colOff>66675</xdr:colOff>
      <xdr:row>15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8C828-2E7F-4824-9EC9-E576055AA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</xdr:row>
      <xdr:rowOff>33337</xdr:rowOff>
    </xdr:from>
    <xdr:to>
      <xdr:col>15</xdr:col>
      <xdr:colOff>352425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35AE7-BE21-43B7-BE46-CD8C42A66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</xdr:colOff>
      <xdr:row>2</xdr:row>
      <xdr:rowOff>14287</xdr:rowOff>
    </xdr:from>
    <xdr:to>
      <xdr:col>27</xdr:col>
      <xdr:colOff>361950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C2E94D-1BC2-45BA-8FA3-5E1D22105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</xdr:row>
      <xdr:rowOff>33337</xdr:rowOff>
    </xdr:from>
    <xdr:to>
      <xdr:col>15</xdr:col>
      <xdr:colOff>352425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94455-C031-4939-AAD0-26659EDEF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</xdr:colOff>
      <xdr:row>2</xdr:row>
      <xdr:rowOff>14287</xdr:rowOff>
    </xdr:from>
    <xdr:to>
      <xdr:col>27</xdr:col>
      <xdr:colOff>361950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9491F9-FBD6-440A-9895-0118C4B9C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33337</xdr:rowOff>
    </xdr:from>
    <xdr:to>
      <xdr:col>14</xdr:col>
      <xdr:colOff>361950</xdr:colOff>
      <xdr:row>16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5D42E3-CE0E-4CED-8DC0-2B624447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26</xdr:row>
      <xdr:rowOff>19050</xdr:rowOff>
    </xdr:from>
    <xdr:to>
      <xdr:col>14</xdr:col>
      <xdr:colOff>333375</xdr:colOff>
      <xdr:row>40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062175-F284-4D65-8B4E-2108EC4D2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</xdr:colOff>
      <xdr:row>2</xdr:row>
      <xdr:rowOff>33337</xdr:rowOff>
    </xdr:from>
    <xdr:to>
      <xdr:col>25</xdr:col>
      <xdr:colOff>361950</xdr:colOff>
      <xdr:row>16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CD80E3-3566-4F3B-AD62-BCEAAF003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28575</xdr:colOff>
      <xdr:row>26</xdr:row>
      <xdr:rowOff>19050</xdr:rowOff>
    </xdr:from>
    <xdr:to>
      <xdr:col>25</xdr:col>
      <xdr:colOff>333375</xdr:colOff>
      <xdr:row>40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C1BCA2-21B7-4C61-A60A-31CB42367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84365</xdr:colOff>
      <xdr:row>2</xdr:row>
      <xdr:rowOff>19730</xdr:rowOff>
    </xdr:from>
    <xdr:to>
      <xdr:col>36</xdr:col>
      <xdr:colOff>389165</xdr:colOff>
      <xdr:row>16</xdr:row>
      <xdr:rowOff>95930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C6A2874-0BA2-4EB6-A24D-9EC69EB7F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122463</xdr:colOff>
      <xdr:row>27</xdr:row>
      <xdr:rowOff>29934</xdr:rowOff>
    </xdr:from>
    <xdr:to>
      <xdr:col>36</xdr:col>
      <xdr:colOff>408213</xdr:colOff>
      <xdr:row>41</xdr:row>
      <xdr:rowOff>106134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C581A70-BDE1-4DF0-A42E-1A95CEE2F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66675</xdr:colOff>
      <xdr:row>2</xdr:row>
      <xdr:rowOff>14287</xdr:rowOff>
    </xdr:from>
    <xdr:to>
      <xdr:col>48</xdr:col>
      <xdr:colOff>371475</xdr:colOff>
      <xdr:row>16</xdr:row>
      <xdr:rowOff>90487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FB00D04-EA18-4606-AB13-310D745E9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</xdr:row>
      <xdr:rowOff>166687</xdr:rowOff>
    </xdr:from>
    <xdr:to>
      <xdr:col>13</xdr:col>
      <xdr:colOff>190500</xdr:colOff>
      <xdr:row>12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E24F1-1322-4FB7-8B29-5F47F05A0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8D5D-44E9-469F-A89C-F7B189A8515E}">
  <dimension ref="A1:I15"/>
  <sheetViews>
    <sheetView workbookViewId="0">
      <selection activeCell="D18" sqref="D18"/>
    </sheetView>
  </sheetViews>
  <sheetFormatPr defaultRowHeight="15" x14ac:dyDescent="0.25"/>
  <cols>
    <col min="1" max="1" width="19.42578125" bestFit="1" customWidth="1"/>
    <col min="4" max="4" width="32.42578125" bestFit="1" customWidth="1"/>
    <col min="7" max="7" width="26" bestFit="1" customWidth="1"/>
    <col min="8" max="8" width="26.42578125" bestFit="1" customWidth="1"/>
    <col min="9" max="9" width="28.85546875" bestFit="1" customWidth="1"/>
  </cols>
  <sheetData>
    <row r="1" spans="1:9" x14ac:dyDescent="0.25">
      <c r="I1" t="s">
        <v>10</v>
      </c>
    </row>
    <row r="2" spans="1:9" x14ac:dyDescent="0.25">
      <c r="A2" t="s">
        <v>0</v>
      </c>
      <c r="B2">
        <v>20</v>
      </c>
      <c r="D2" t="s">
        <v>5</v>
      </c>
      <c r="E2">
        <v>4</v>
      </c>
      <c r="G2" t="s">
        <v>6</v>
      </c>
      <c r="H2" t="s">
        <v>11</v>
      </c>
      <c r="I2">
        <v>2</v>
      </c>
    </row>
    <row r="3" spans="1:9" x14ac:dyDescent="0.25">
      <c r="A3" t="s">
        <v>1</v>
      </c>
      <c r="B3">
        <v>20</v>
      </c>
      <c r="G3" t="s">
        <v>7</v>
      </c>
      <c r="H3" t="s">
        <v>8</v>
      </c>
      <c r="I3" t="s">
        <v>9</v>
      </c>
    </row>
    <row r="4" spans="1:9" x14ac:dyDescent="0.25">
      <c r="A4" s="2" t="s">
        <v>37</v>
      </c>
      <c r="B4" s="2">
        <v>13</v>
      </c>
      <c r="G4">
        <v>0</v>
      </c>
      <c r="H4">
        <f t="shared" ref="H4:H15" si="0">IF(G4&lt;$E$2, $I$2*(($B$7-$B$5)*(G4/$E$2)+$B$5), $I$2*$B$7)</f>
        <v>6</v>
      </c>
      <c r="I4">
        <f>IFERROR(H4+I3, H4)</f>
        <v>6</v>
      </c>
    </row>
    <row r="5" spans="1:9" x14ac:dyDescent="0.25">
      <c r="A5" t="s">
        <v>2</v>
      </c>
      <c r="B5">
        <v>3</v>
      </c>
      <c r="G5">
        <v>1</v>
      </c>
      <c r="H5">
        <f t="shared" si="0"/>
        <v>8.5</v>
      </c>
      <c r="I5">
        <f t="shared" ref="I5:I15" si="1">IFERROR(H5+I4, H5)</f>
        <v>14.5</v>
      </c>
    </row>
    <row r="6" spans="1:9" x14ac:dyDescent="0.25">
      <c r="A6" t="s">
        <v>3</v>
      </c>
      <c r="B6">
        <v>11</v>
      </c>
      <c r="G6">
        <v>2</v>
      </c>
      <c r="H6">
        <f t="shared" si="0"/>
        <v>11</v>
      </c>
      <c r="I6">
        <f t="shared" si="1"/>
        <v>25.5</v>
      </c>
    </row>
    <row r="7" spans="1:9" x14ac:dyDescent="0.25">
      <c r="A7" t="s">
        <v>4</v>
      </c>
      <c r="B7">
        <v>8</v>
      </c>
      <c r="G7">
        <v>3</v>
      </c>
      <c r="H7">
        <f t="shared" si="0"/>
        <v>13.5</v>
      </c>
      <c r="I7">
        <f t="shared" si="1"/>
        <v>39</v>
      </c>
    </row>
    <row r="8" spans="1:9" x14ac:dyDescent="0.25">
      <c r="G8">
        <v>4</v>
      </c>
      <c r="H8">
        <f t="shared" si="0"/>
        <v>16</v>
      </c>
      <c r="I8">
        <f t="shared" si="1"/>
        <v>55</v>
      </c>
    </row>
    <row r="9" spans="1:9" x14ac:dyDescent="0.25">
      <c r="G9">
        <v>5</v>
      </c>
      <c r="H9">
        <f t="shared" si="0"/>
        <v>16</v>
      </c>
      <c r="I9">
        <f t="shared" si="1"/>
        <v>71</v>
      </c>
    </row>
    <row r="10" spans="1:9" x14ac:dyDescent="0.25">
      <c r="G10">
        <v>6</v>
      </c>
      <c r="H10">
        <f t="shared" si="0"/>
        <v>16</v>
      </c>
      <c r="I10">
        <f t="shared" si="1"/>
        <v>87</v>
      </c>
    </row>
    <row r="11" spans="1:9" x14ac:dyDescent="0.25">
      <c r="G11">
        <v>7</v>
      </c>
      <c r="H11">
        <f t="shared" si="0"/>
        <v>16</v>
      </c>
      <c r="I11">
        <f t="shared" si="1"/>
        <v>103</v>
      </c>
    </row>
    <row r="12" spans="1:9" x14ac:dyDescent="0.25">
      <c r="G12">
        <v>8</v>
      </c>
      <c r="H12">
        <f t="shared" si="0"/>
        <v>16</v>
      </c>
      <c r="I12">
        <f t="shared" si="1"/>
        <v>119</v>
      </c>
    </row>
    <row r="13" spans="1:9" x14ac:dyDescent="0.25">
      <c r="G13">
        <v>9</v>
      </c>
      <c r="H13">
        <f t="shared" si="0"/>
        <v>16</v>
      </c>
      <c r="I13">
        <f t="shared" si="1"/>
        <v>135</v>
      </c>
    </row>
    <row r="14" spans="1:9" x14ac:dyDescent="0.25">
      <c r="G14">
        <v>10</v>
      </c>
      <c r="H14">
        <f t="shared" si="0"/>
        <v>16</v>
      </c>
      <c r="I14">
        <f t="shared" si="1"/>
        <v>151</v>
      </c>
    </row>
    <row r="15" spans="1:9" x14ac:dyDescent="0.25">
      <c r="G15">
        <v>11</v>
      </c>
      <c r="H15">
        <f t="shared" si="0"/>
        <v>16</v>
      </c>
      <c r="I15">
        <f t="shared" si="1"/>
        <v>167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388C-E11D-419F-8406-B1F84AD14540}">
  <dimension ref="A1:AE74"/>
  <sheetViews>
    <sheetView topLeftCell="A19" zoomScaleNormal="100" workbookViewId="0">
      <selection activeCell="H34" sqref="H34"/>
    </sheetView>
  </sheetViews>
  <sheetFormatPr defaultRowHeight="15" x14ac:dyDescent="0.25"/>
  <cols>
    <col min="1" max="1" width="27.140625" bestFit="1" customWidth="1"/>
    <col min="4" max="4" width="11" style="3" bestFit="1" customWidth="1"/>
    <col min="6" max="6" width="9.42578125" customWidth="1"/>
    <col min="9" max="9" width="8.28515625" bestFit="1" customWidth="1"/>
    <col min="14" max="14" width="9.140625" style="3"/>
    <col min="18" max="18" width="18.140625" bestFit="1" customWidth="1"/>
    <col min="19" max="19" width="8.28515625" bestFit="1" customWidth="1"/>
    <col min="27" max="27" width="9.7109375" customWidth="1"/>
  </cols>
  <sheetData>
    <row r="1" spans="1:31" x14ac:dyDescent="0.25">
      <c r="C1" s="13" t="s">
        <v>47</v>
      </c>
      <c r="D1" s="13"/>
      <c r="F1" s="3"/>
      <c r="G1" s="3"/>
      <c r="H1" s="3"/>
      <c r="I1" s="3"/>
      <c r="J1" s="3"/>
      <c r="K1" s="3"/>
      <c r="L1" s="3"/>
      <c r="M1" s="3"/>
      <c r="O1" s="3"/>
      <c r="P1" s="3"/>
      <c r="Q1" s="3"/>
      <c r="R1" s="13" t="s">
        <v>25</v>
      </c>
      <c r="S1" s="13"/>
      <c r="T1" s="3">
        <v>0.1</v>
      </c>
      <c r="U1" s="3"/>
      <c r="V1" s="3"/>
      <c r="Y1" s="3"/>
      <c r="Z1" s="3"/>
      <c r="AA1" s="3"/>
      <c r="AB1" s="3"/>
      <c r="AC1" s="3"/>
      <c r="AD1" s="3"/>
      <c r="AE1" s="3"/>
    </row>
    <row r="2" spans="1:31" x14ac:dyDescent="0.25">
      <c r="A2" t="s">
        <v>12</v>
      </c>
      <c r="B2">
        <v>8</v>
      </c>
      <c r="C2">
        <v>2</v>
      </c>
      <c r="F2" s="14" t="s">
        <v>28</v>
      </c>
      <c r="G2" s="14"/>
      <c r="H2" s="14"/>
      <c r="I2" s="3"/>
      <c r="J2" s="3"/>
      <c r="K2" s="3"/>
      <c r="L2" s="3"/>
      <c r="M2" s="3"/>
      <c r="O2" s="14" t="s">
        <v>42</v>
      </c>
      <c r="P2" s="14"/>
      <c r="Q2" s="7"/>
      <c r="R2" s="13" t="s">
        <v>26</v>
      </c>
      <c r="S2" s="13"/>
      <c r="T2" s="3">
        <v>0.5</v>
      </c>
      <c r="U2" s="3"/>
      <c r="V2" s="3"/>
      <c r="Y2" s="7"/>
      <c r="Z2" s="7"/>
      <c r="AA2" s="7"/>
      <c r="AB2" s="3"/>
      <c r="AC2" s="3"/>
      <c r="AD2" s="3"/>
      <c r="AE2" s="3"/>
    </row>
    <row r="3" spans="1:31" x14ac:dyDescent="0.25">
      <c r="A3" t="s">
        <v>13</v>
      </c>
      <c r="B3">
        <v>8</v>
      </c>
      <c r="C3">
        <v>2</v>
      </c>
      <c r="F3" s="3" t="s">
        <v>17</v>
      </c>
      <c r="G3" s="3" t="s">
        <v>29</v>
      </c>
      <c r="H3" s="3" t="s">
        <v>30</v>
      </c>
      <c r="I3" s="3" t="s">
        <v>27</v>
      </c>
      <c r="J3" s="13" t="s">
        <v>38</v>
      </c>
      <c r="K3" s="13"/>
      <c r="L3" s="3"/>
      <c r="M3" s="3"/>
      <c r="O3" s="3" t="s">
        <v>17</v>
      </c>
      <c r="P3" s="7" t="s">
        <v>29</v>
      </c>
      <c r="Q3" s="7" t="s">
        <v>43</v>
      </c>
      <c r="R3" s="7" t="s">
        <v>45</v>
      </c>
      <c r="S3" s="3" t="s">
        <v>27</v>
      </c>
      <c r="T3" s="3" t="s">
        <v>36</v>
      </c>
      <c r="U3" s="3"/>
      <c r="V3" s="3"/>
      <c r="X3" t="s">
        <v>27</v>
      </c>
      <c r="Y3" s="13" t="s">
        <v>46</v>
      </c>
      <c r="Z3" s="13"/>
      <c r="AA3" s="7"/>
      <c r="AB3" s="3"/>
      <c r="AC3" s="3"/>
      <c r="AD3" s="3"/>
      <c r="AE3" s="3"/>
    </row>
    <row r="4" spans="1:31" x14ac:dyDescent="0.25">
      <c r="A4" t="s">
        <v>14</v>
      </c>
      <c r="B4">
        <v>12</v>
      </c>
      <c r="C4">
        <v>4</v>
      </c>
      <c r="F4" s="3">
        <v>1</v>
      </c>
      <c r="G4" s="3">
        <f>1.4/(SQRT(F4))</f>
        <v>1.4</v>
      </c>
      <c r="H4" s="3">
        <f>F4*$B$4/($B$2*4)</f>
        <v>0.375</v>
      </c>
      <c r="I4" s="3"/>
      <c r="J4" s="3"/>
      <c r="K4" s="3"/>
      <c r="L4" s="3"/>
      <c r="O4" s="3">
        <v>1</v>
      </c>
      <c r="P4" s="3">
        <f t="shared" ref="P4:P23" si="0">1/($T$2*O4)+$T$1</f>
        <v>2.1</v>
      </c>
      <c r="Q4" s="3">
        <f>(O4-$B$2+8)/4+1</f>
        <v>1.25</v>
      </c>
      <c r="R4" s="3">
        <f>O4-$B$2+10</f>
        <v>3</v>
      </c>
      <c r="S4" s="3"/>
      <c r="T4" s="3"/>
      <c r="U4" s="3"/>
      <c r="W4" s="3"/>
      <c r="X4" s="3"/>
      <c r="Y4" s="3"/>
      <c r="Z4" s="3"/>
      <c r="AA4" s="3"/>
      <c r="AB4" s="3"/>
      <c r="AC4" s="3"/>
      <c r="AD4" s="3"/>
    </row>
    <row r="5" spans="1:31" x14ac:dyDescent="0.25">
      <c r="A5" t="s">
        <v>15</v>
      </c>
      <c r="B5">
        <v>20</v>
      </c>
      <c r="F5" s="3">
        <v>2</v>
      </c>
      <c r="G5" s="3">
        <f t="shared" ref="G5:G23" si="1">1.4/(SQRT(F5))</f>
        <v>0.98994949366116636</v>
      </c>
      <c r="H5" s="3">
        <f t="shared" ref="H5:H23" si="2">F5*$B$4/($B$2*4)</f>
        <v>0.75</v>
      </c>
      <c r="I5" s="3"/>
      <c r="J5" s="3"/>
      <c r="K5" s="3"/>
      <c r="L5" s="3"/>
      <c r="M5" s="3"/>
      <c r="O5" s="3">
        <v>2</v>
      </c>
      <c r="P5" s="3">
        <f t="shared" si="0"/>
        <v>1.1000000000000001</v>
      </c>
      <c r="Q5" s="3">
        <f t="shared" ref="Q5:Q23" si="3">(O5-$B$2+8)/4+1</f>
        <v>1.5</v>
      </c>
      <c r="R5" s="3">
        <f t="shared" ref="R5:R23" si="4">O5-$B$2+10</f>
        <v>4</v>
      </c>
      <c r="S5" s="3"/>
      <c r="T5" s="3"/>
      <c r="U5" s="3"/>
      <c r="X5" s="3"/>
      <c r="Y5" s="3"/>
      <c r="Z5" s="3"/>
      <c r="AA5" s="3"/>
      <c r="AB5" s="3"/>
      <c r="AC5" s="3"/>
      <c r="AD5" s="3"/>
    </row>
    <row r="6" spans="1:31" x14ac:dyDescent="0.25">
      <c r="F6" s="3">
        <v>3</v>
      </c>
      <c r="G6" s="3">
        <f t="shared" si="1"/>
        <v>0.80829037686547611</v>
      </c>
      <c r="H6" s="3">
        <f t="shared" si="2"/>
        <v>1.125</v>
      </c>
      <c r="I6" s="3"/>
      <c r="J6" s="3"/>
      <c r="K6" s="3"/>
      <c r="L6" s="3"/>
      <c r="M6" s="3"/>
      <c r="O6" s="3">
        <v>3</v>
      </c>
      <c r="P6" s="3">
        <f t="shared" si="0"/>
        <v>0.76666666666666661</v>
      </c>
      <c r="Q6" s="3">
        <f t="shared" si="3"/>
        <v>1.75</v>
      </c>
      <c r="R6" s="3">
        <f t="shared" si="4"/>
        <v>5</v>
      </c>
      <c r="S6" s="3"/>
      <c r="T6" s="3"/>
      <c r="U6" s="3"/>
      <c r="X6" s="3"/>
      <c r="Y6" s="3"/>
      <c r="Z6" s="3"/>
      <c r="AA6" s="3"/>
      <c r="AB6" s="3"/>
      <c r="AC6" s="3"/>
      <c r="AD6" s="3"/>
    </row>
    <row r="7" spans="1:31" x14ac:dyDescent="0.25">
      <c r="A7" t="s">
        <v>16</v>
      </c>
      <c r="B7" t="s">
        <v>17</v>
      </c>
      <c r="C7" t="s">
        <v>18</v>
      </c>
      <c r="F7" s="3">
        <v>4</v>
      </c>
      <c r="G7" s="3">
        <f t="shared" si="1"/>
        <v>0.7</v>
      </c>
      <c r="H7" s="3">
        <f t="shared" si="2"/>
        <v>1.5</v>
      </c>
      <c r="I7" s="3"/>
      <c r="J7" s="3"/>
      <c r="K7" s="3"/>
      <c r="L7" s="3"/>
      <c r="M7" s="3"/>
      <c r="O7" s="3">
        <v>4</v>
      </c>
      <c r="P7" s="3">
        <f t="shared" si="0"/>
        <v>0.6</v>
      </c>
      <c r="Q7" s="3">
        <f t="shared" si="3"/>
        <v>2</v>
      </c>
      <c r="R7" s="3">
        <f t="shared" si="4"/>
        <v>6</v>
      </c>
      <c r="S7" s="3"/>
      <c r="T7" s="3"/>
      <c r="U7" s="3"/>
      <c r="X7" s="3"/>
      <c r="Y7" s="3"/>
      <c r="Z7" s="3"/>
      <c r="AA7" s="3"/>
      <c r="AB7" s="3"/>
      <c r="AC7" s="3"/>
      <c r="AD7" s="3"/>
    </row>
    <row r="8" spans="1:31" x14ac:dyDescent="0.25">
      <c r="A8" t="s">
        <v>19</v>
      </c>
      <c r="B8">
        <v>1</v>
      </c>
      <c r="C8">
        <v>1</v>
      </c>
      <c r="F8" s="3">
        <v>5</v>
      </c>
      <c r="G8" s="3">
        <f t="shared" si="1"/>
        <v>0.62609903369994102</v>
      </c>
      <c r="H8" s="3">
        <f t="shared" si="2"/>
        <v>1.875</v>
      </c>
      <c r="I8" s="3"/>
      <c r="J8" s="3"/>
      <c r="K8" s="3"/>
      <c r="L8" s="3"/>
      <c r="M8" s="3"/>
      <c r="O8" s="3">
        <v>5</v>
      </c>
      <c r="P8" s="3">
        <f t="shared" si="0"/>
        <v>0.5</v>
      </c>
      <c r="Q8" s="3">
        <f t="shared" si="3"/>
        <v>2.25</v>
      </c>
      <c r="R8" s="3">
        <f t="shared" si="4"/>
        <v>7</v>
      </c>
      <c r="S8" s="3"/>
      <c r="T8" s="3"/>
      <c r="U8" s="3"/>
      <c r="X8" s="3"/>
      <c r="Y8" s="3"/>
      <c r="Z8" s="3"/>
      <c r="AA8" s="3"/>
      <c r="AB8" s="3"/>
      <c r="AC8" s="3"/>
      <c r="AD8" s="3"/>
    </row>
    <row r="9" spans="1:31" x14ac:dyDescent="0.25">
      <c r="A9" t="s">
        <v>20</v>
      </c>
      <c r="B9">
        <v>0</v>
      </c>
      <c r="C9">
        <v>1</v>
      </c>
      <c r="F9" s="3">
        <v>6</v>
      </c>
      <c r="G9" s="3">
        <f t="shared" si="1"/>
        <v>0.57154760664940829</v>
      </c>
      <c r="H9" s="3">
        <f t="shared" si="2"/>
        <v>2.25</v>
      </c>
      <c r="I9" s="3"/>
      <c r="J9" s="3"/>
      <c r="K9" s="3"/>
      <c r="L9" s="3"/>
      <c r="M9" s="3"/>
      <c r="O9" s="3">
        <v>6</v>
      </c>
      <c r="P9" s="3">
        <f t="shared" si="0"/>
        <v>0.43333333333333335</v>
      </c>
      <c r="Q9" s="3">
        <f t="shared" si="3"/>
        <v>2.5</v>
      </c>
      <c r="R9" s="3">
        <f t="shared" si="4"/>
        <v>8</v>
      </c>
      <c r="S9" s="3"/>
      <c r="T9" s="3"/>
      <c r="U9" s="3"/>
      <c r="X9" s="3"/>
      <c r="Y9" s="3"/>
      <c r="Z9" s="3"/>
      <c r="AA9" s="3"/>
      <c r="AB9" s="3"/>
      <c r="AC9" s="3"/>
      <c r="AD9" s="3"/>
    </row>
    <row r="10" spans="1:31" x14ac:dyDescent="0.25">
      <c r="A10" t="s">
        <v>21</v>
      </c>
      <c r="B10">
        <v>0</v>
      </c>
      <c r="C10">
        <v>1</v>
      </c>
      <c r="F10" s="3">
        <v>7</v>
      </c>
      <c r="G10" s="3">
        <f t="shared" si="1"/>
        <v>0.52915026221291805</v>
      </c>
      <c r="H10" s="3">
        <f t="shared" si="2"/>
        <v>2.625</v>
      </c>
      <c r="I10" s="3"/>
      <c r="J10" s="3"/>
      <c r="K10" s="3"/>
      <c r="L10" s="3"/>
      <c r="M10" s="3"/>
      <c r="O10" s="3">
        <v>7</v>
      </c>
      <c r="P10" s="3">
        <f t="shared" si="0"/>
        <v>0.38571428571428568</v>
      </c>
      <c r="Q10" s="3">
        <f t="shared" si="3"/>
        <v>2.75</v>
      </c>
      <c r="R10" s="3">
        <f t="shared" si="4"/>
        <v>9</v>
      </c>
      <c r="S10" s="3"/>
      <c r="T10" s="3"/>
      <c r="U10" s="3"/>
      <c r="X10" s="3"/>
      <c r="Y10" s="3"/>
      <c r="Z10" s="3"/>
      <c r="AA10" s="3"/>
      <c r="AB10" s="3"/>
      <c r="AC10" s="3"/>
      <c r="AD10" s="3"/>
    </row>
    <row r="11" spans="1:31" x14ac:dyDescent="0.25">
      <c r="A11" t="s">
        <v>22</v>
      </c>
      <c r="B11">
        <v>1</v>
      </c>
      <c r="C11">
        <v>0</v>
      </c>
      <c r="F11" s="3">
        <v>8</v>
      </c>
      <c r="G11" s="3">
        <f t="shared" si="1"/>
        <v>0.49497474683058318</v>
      </c>
      <c r="H11" s="3">
        <f t="shared" si="2"/>
        <v>3</v>
      </c>
      <c r="I11" s="3"/>
      <c r="J11" s="3"/>
      <c r="K11" s="3"/>
      <c r="L11" s="3"/>
      <c r="M11" s="3"/>
      <c r="O11" s="3">
        <v>8</v>
      </c>
      <c r="P11" s="3">
        <f t="shared" si="0"/>
        <v>0.35</v>
      </c>
      <c r="Q11" s="3">
        <f t="shared" si="3"/>
        <v>3</v>
      </c>
      <c r="R11" s="3">
        <f t="shared" si="4"/>
        <v>10</v>
      </c>
      <c r="S11" s="3"/>
      <c r="T11" s="3"/>
      <c r="U11" s="3"/>
      <c r="X11" s="3"/>
      <c r="Y11" s="3"/>
      <c r="Z11" s="3"/>
      <c r="AA11" s="3"/>
      <c r="AB11" s="3"/>
      <c r="AC11" s="3"/>
      <c r="AD11" s="3"/>
    </row>
    <row r="12" spans="1:31" x14ac:dyDescent="0.25">
      <c r="A12" t="s">
        <v>23</v>
      </c>
      <c r="B12">
        <v>1</v>
      </c>
      <c r="C12">
        <v>0</v>
      </c>
      <c r="F12" s="3">
        <v>9</v>
      </c>
      <c r="G12" s="3">
        <f t="shared" si="1"/>
        <v>0.46666666666666662</v>
      </c>
      <c r="H12" s="3">
        <f t="shared" si="2"/>
        <v>3.375</v>
      </c>
      <c r="I12" s="3"/>
      <c r="J12" s="3"/>
      <c r="K12" s="3"/>
      <c r="L12" s="3"/>
      <c r="M12" s="3"/>
      <c r="O12" s="3">
        <v>9</v>
      </c>
      <c r="P12" s="3">
        <f t="shared" si="0"/>
        <v>0.32222222222222219</v>
      </c>
      <c r="Q12" s="3">
        <f t="shared" si="3"/>
        <v>3.25</v>
      </c>
      <c r="R12" s="3">
        <f t="shared" si="4"/>
        <v>11</v>
      </c>
      <c r="S12" s="3"/>
      <c r="T12" s="3"/>
      <c r="U12" s="3"/>
      <c r="X12" s="3"/>
      <c r="Y12" s="3"/>
      <c r="Z12" s="3"/>
      <c r="AA12" s="3"/>
      <c r="AB12" s="3"/>
      <c r="AC12" s="3"/>
      <c r="AD12" s="3"/>
    </row>
    <row r="13" spans="1:31" x14ac:dyDescent="0.25">
      <c r="A13" t="s">
        <v>24</v>
      </c>
      <c r="B13">
        <v>1</v>
      </c>
      <c r="C13">
        <v>0</v>
      </c>
      <c r="F13" s="3">
        <v>10</v>
      </c>
      <c r="G13" s="3">
        <f t="shared" si="1"/>
        <v>0.44271887242357305</v>
      </c>
      <c r="H13" s="3">
        <f t="shared" si="2"/>
        <v>3.75</v>
      </c>
      <c r="I13" s="3"/>
      <c r="J13" s="3"/>
      <c r="K13" s="3"/>
      <c r="L13" s="3"/>
      <c r="M13" s="3"/>
      <c r="O13" s="3">
        <v>10</v>
      </c>
      <c r="P13" s="3">
        <f t="shared" si="0"/>
        <v>0.30000000000000004</v>
      </c>
      <c r="Q13" s="3">
        <f t="shared" si="3"/>
        <v>3.5</v>
      </c>
      <c r="R13" s="3">
        <f t="shared" si="4"/>
        <v>12</v>
      </c>
      <c r="S13" s="3"/>
      <c r="T13" s="3"/>
      <c r="U13" s="3"/>
      <c r="X13" s="3"/>
      <c r="Y13" s="3"/>
      <c r="Z13" s="3"/>
      <c r="AA13" s="3"/>
      <c r="AB13" s="3"/>
      <c r="AC13" s="3"/>
      <c r="AD13" s="3"/>
    </row>
    <row r="14" spans="1:31" x14ac:dyDescent="0.25">
      <c r="F14" s="3">
        <v>11</v>
      </c>
      <c r="G14" s="3">
        <f t="shared" si="1"/>
        <v>0.42211588240886905</v>
      </c>
      <c r="H14" s="3">
        <f t="shared" si="2"/>
        <v>4.125</v>
      </c>
      <c r="I14" s="3" t="s">
        <v>27</v>
      </c>
      <c r="J14" s="13" t="s">
        <v>39</v>
      </c>
      <c r="K14" s="13"/>
      <c r="L14" s="3"/>
      <c r="M14" s="3"/>
      <c r="O14" s="3">
        <v>11</v>
      </c>
      <c r="P14" s="3">
        <f t="shared" si="0"/>
        <v>0.28181818181818186</v>
      </c>
      <c r="Q14" s="3">
        <f t="shared" si="3"/>
        <v>3.75</v>
      </c>
      <c r="R14" s="3">
        <f t="shared" si="4"/>
        <v>13</v>
      </c>
      <c r="S14" s="3"/>
      <c r="T14" s="3"/>
      <c r="U14" s="3"/>
      <c r="X14" s="3"/>
      <c r="Y14" s="3"/>
      <c r="Z14" s="3"/>
      <c r="AA14" s="3"/>
      <c r="AB14" s="3"/>
      <c r="AC14" s="3"/>
      <c r="AD14" s="3"/>
    </row>
    <row r="15" spans="1:31" x14ac:dyDescent="0.25">
      <c r="A15" t="s">
        <v>76</v>
      </c>
      <c r="B15" s="13" t="s">
        <v>77</v>
      </c>
      <c r="C15" s="13"/>
      <c r="F15" s="3">
        <v>12</v>
      </c>
      <c r="G15" s="3">
        <f t="shared" si="1"/>
        <v>0.40414518843273806</v>
      </c>
      <c r="H15" s="3">
        <f t="shared" si="2"/>
        <v>4.5</v>
      </c>
      <c r="I15" s="3"/>
      <c r="J15" s="3"/>
      <c r="K15" s="3"/>
      <c r="L15" s="3"/>
      <c r="M15" s="3"/>
      <c r="O15" s="3">
        <v>12</v>
      </c>
      <c r="P15" s="3">
        <f t="shared" si="0"/>
        <v>0.26666666666666666</v>
      </c>
      <c r="Q15" s="3">
        <f t="shared" si="3"/>
        <v>4</v>
      </c>
      <c r="R15" s="3">
        <f t="shared" si="4"/>
        <v>14</v>
      </c>
      <c r="S15" s="3" t="s">
        <v>27</v>
      </c>
      <c r="T15" s="13" t="s">
        <v>44</v>
      </c>
      <c r="U15" s="13"/>
      <c r="V15" s="3"/>
      <c r="Y15" s="3"/>
      <c r="Z15" s="3"/>
      <c r="AA15" s="3"/>
      <c r="AB15" s="3"/>
      <c r="AC15" s="13"/>
      <c r="AD15" s="13"/>
      <c r="AE15" s="3"/>
    </row>
    <row r="16" spans="1:31" x14ac:dyDescent="0.25">
      <c r="A16" s="10"/>
      <c r="B16" s="10"/>
      <c r="C16" s="10"/>
      <c r="D16" s="10"/>
      <c r="F16" s="3">
        <v>13</v>
      </c>
      <c r="G16" s="3">
        <f t="shared" si="1"/>
        <v>0.38829013735766038</v>
      </c>
      <c r="H16" s="3">
        <f t="shared" si="2"/>
        <v>4.875</v>
      </c>
      <c r="I16" s="3"/>
      <c r="J16" s="3"/>
      <c r="K16" s="3"/>
      <c r="L16" s="3"/>
      <c r="M16" s="3"/>
      <c r="O16" s="3">
        <v>13</v>
      </c>
      <c r="P16" s="3">
        <f t="shared" si="0"/>
        <v>0.25384615384615383</v>
      </c>
      <c r="Q16" s="3">
        <f t="shared" si="3"/>
        <v>4.25</v>
      </c>
      <c r="R16" s="3">
        <f t="shared" si="4"/>
        <v>15</v>
      </c>
      <c r="S16" s="3"/>
      <c r="T16" s="3"/>
      <c r="U16" s="3"/>
      <c r="X16" s="3"/>
      <c r="Y16" s="3"/>
      <c r="Z16" s="3"/>
      <c r="AA16" s="3"/>
      <c r="AB16" s="3"/>
      <c r="AC16" s="3"/>
      <c r="AD16" s="3"/>
    </row>
    <row r="17" spans="3:30" x14ac:dyDescent="0.25">
      <c r="C17" t="s">
        <v>17</v>
      </c>
      <c r="D17" s="3" t="s">
        <v>49</v>
      </c>
      <c r="F17" s="3">
        <v>14</v>
      </c>
      <c r="G17" s="3">
        <f t="shared" si="1"/>
        <v>0.37416573867739411</v>
      </c>
      <c r="H17" s="3">
        <f t="shared" si="2"/>
        <v>5.25</v>
      </c>
      <c r="I17" s="3"/>
      <c r="J17" s="3"/>
      <c r="K17" s="3"/>
      <c r="L17" s="3"/>
      <c r="M17" s="3"/>
      <c r="O17" s="3">
        <v>14</v>
      </c>
      <c r="P17" s="3">
        <f t="shared" si="0"/>
        <v>0.24285714285714285</v>
      </c>
      <c r="Q17" s="3">
        <f t="shared" si="3"/>
        <v>4.5</v>
      </c>
      <c r="R17" s="3">
        <f t="shared" si="4"/>
        <v>16</v>
      </c>
      <c r="S17" s="3"/>
      <c r="T17" s="3"/>
      <c r="U17" s="3"/>
      <c r="X17" s="3"/>
      <c r="Y17" s="3"/>
      <c r="Z17" s="3"/>
      <c r="AA17" s="3"/>
      <c r="AB17" s="3"/>
      <c r="AC17" s="3"/>
      <c r="AD17" s="3"/>
    </row>
    <row r="18" spans="3:30" x14ac:dyDescent="0.25">
      <c r="C18" s="3">
        <v>1</v>
      </c>
      <c r="D18" s="3">
        <f>_xlfn.NORM.DIST(C18,$B$2,$C$2, FALSE)</f>
        <v>4.3634134752288008E-4</v>
      </c>
      <c r="F18" s="3">
        <v>15</v>
      </c>
      <c r="G18" s="3">
        <f t="shared" si="1"/>
        <v>0.36147844564602555</v>
      </c>
      <c r="H18" s="3">
        <f t="shared" si="2"/>
        <v>5.625</v>
      </c>
      <c r="I18" s="3"/>
      <c r="J18" s="3"/>
      <c r="K18" s="3"/>
      <c r="L18" s="3"/>
      <c r="M18" s="3"/>
      <c r="O18" s="3">
        <v>15</v>
      </c>
      <c r="P18" s="3">
        <f t="shared" si="0"/>
        <v>0.23333333333333334</v>
      </c>
      <c r="Q18" s="3">
        <f t="shared" si="3"/>
        <v>4.75</v>
      </c>
      <c r="R18" s="3">
        <f t="shared" si="4"/>
        <v>17</v>
      </c>
      <c r="S18" s="3"/>
      <c r="T18" s="3"/>
      <c r="U18" s="3"/>
      <c r="X18" s="3"/>
      <c r="Y18" s="3"/>
      <c r="Z18" s="3"/>
      <c r="AA18" s="3"/>
      <c r="AB18" s="3"/>
      <c r="AC18" s="3"/>
      <c r="AD18" s="3"/>
    </row>
    <row r="19" spans="3:30" x14ac:dyDescent="0.25">
      <c r="C19" s="3">
        <v>2</v>
      </c>
      <c r="D19" s="3">
        <f t="shared" ref="D19:D32" si="5">_xlfn.NORM.DIST(C19,$B$2,$C$2, FALSE)</f>
        <v>2.2159242059690038E-3</v>
      </c>
      <c r="F19" s="3">
        <v>16</v>
      </c>
      <c r="G19" s="3">
        <f t="shared" si="1"/>
        <v>0.35</v>
      </c>
      <c r="H19" s="3">
        <f t="shared" si="2"/>
        <v>6</v>
      </c>
      <c r="I19" s="3"/>
      <c r="J19" s="3"/>
      <c r="K19" s="3"/>
      <c r="L19" s="3"/>
      <c r="M19" s="3"/>
      <c r="O19" s="3">
        <v>16</v>
      </c>
      <c r="P19" s="3">
        <f t="shared" si="0"/>
        <v>0.22500000000000001</v>
      </c>
      <c r="Q19" s="3">
        <f t="shared" si="3"/>
        <v>5</v>
      </c>
      <c r="R19" s="3">
        <f t="shared" si="4"/>
        <v>18</v>
      </c>
      <c r="S19" s="3"/>
      <c r="T19" s="3"/>
      <c r="U19" s="3"/>
      <c r="X19" s="3"/>
      <c r="Y19" s="3"/>
      <c r="Z19" s="3"/>
      <c r="AA19" s="3"/>
      <c r="AB19" s="3"/>
      <c r="AC19" s="3"/>
      <c r="AD19" s="3"/>
    </row>
    <row r="20" spans="3:30" x14ac:dyDescent="0.25">
      <c r="C20" s="3">
        <v>3</v>
      </c>
      <c r="D20" s="3">
        <f t="shared" si="5"/>
        <v>8.7641502467842702E-3</v>
      </c>
      <c r="F20" s="3">
        <v>17</v>
      </c>
      <c r="G20" s="3">
        <f t="shared" si="1"/>
        <v>0.33954987505086615</v>
      </c>
      <c r="H20" s="3">
        <f t="shared" si="2"/>
        <v>6.375</v>
      </c>
      <c r="I20" s="3"/>
      <c r="J20" s="3"/>
      <c r="K20" s="3"/>
      <c r="L20" s="3"/>
      <c r="M20" s="3"/>
      <c r="O20" s="3">
        <v>17</v>
      </c>
      <c r="P20" s="3">
        <f t="shared" si="0"/>
        <v>0.21764705882352942</v>
      </c>
      <c r="Q20" s="3">
        <f t="shared" si="3"/>
        <v>5.25</v>
      </c>
      <c r="R20" s="3">
        <f t="shared" si="4"/>
        <v>19</v>
      </c>
      <c r="S20" s="3"/>
      <c r="T20" s="3"/>
      <c r="U20" s="3"/>
      <c r="X20" s="3"/>
      <c r="Y20" s="3"/>
      <c r="Z20" s="3"/>
      <c r="AA20" s="3"/>
      <c r="AB20" s="3"/>
      <c r="AC20" s="3"/>
      <c r="AD20" s="3"/>
    </row>
    <row r="21" spans="3:30" x14ac:dyDescent="0.25">
      <c r="C21" s="3">
        <v>4</v>
      </c>
      <c r="D21" s="3">
        <f t="shared" si="5"/>
        <v>2.6995483256594031E-2</v>
      </c>
      <c r="F21" s="3">
        <v>18</v>
      </c>
      <c r="G21" s="3">
        <f t="shared" si="1"/>
        <v>0.32998316455372217</v>
      </c>
      <c r="H21" s="3">
        <f t="shared" si="2"/>
        <v>6.75</v>
      </c>
      <c r="I21" s="3"/>
      <c r="J21" s="3"/>
      <c r="K21" s="3"/>
      <c r="L21" s="3"/>
      <c r="M21" s="3"/>
      <c r="O21" s="3">
        <v>18</v>
      </c>
      <c r="P21" s="3">
        <f t="shared" si="0"/>
        <v>0.21111111111111111</v>
      </c>
      <c r="Q21" s="3">
        <f t="shared" si="3"/>
        <v>5.5</v>
      </c>
      <c r="R21" s="3">
        <f t="shared" si="4"/>
        <v>20</v>
      </c>
      <c r="S21" s="3"/>
      <c r="T21" s="3"/>
      <c r="U21" s="3"/>
      <c r="X21" s="3"/>
      <c r="Y21" s="3"/>
      <c r="Z21" s="3"/>
      <c r="AA21" s="3"/>
      <c r="AB21" s="3"/>
      <c r="AC21" s="3"/>
      <c r="AD21" s="3"/>
    </row>
    <row r="22" spans="3:30" x14ac:dyDescent="0.25">
      <c r="C22" s="3">
        <v>5</v>
      </c>
      <c r="D22" s="3">
        <f t="shared" si="5"/>
        <v>6.4758797832945872E-2</v>
      </c>
      <c r="F22" s="3">
        <v>19</v>
      </c>
      <c r="G22" s="3">
        <f t="shared" si="1"/>
        <v>0.32118202741878643</v>
      </c>
      <c r="H22" s="3">
        <f t="shared" si="2"/>
        <v>7.125</v>
      </c>
      <c r="I22" s="3"/>
      <c r="J22" s="3"/>
      <c r="K22" s="3"/>
      <c r="L22" s="3"/>
      <c r="M22" s="3"/>
      <c r="O22" s="3">
        <v>19</v>
      </c>
      <c r="P22" s="3">
        <f t="shared" si="0"/>
        <v>0.20526315789473684</v>
      </c>
      <c r="Q22" s="3">
        <f t="shared" si="3"/>
        <v>5.75</v>
      </c>
      <c r="R22" s="3">
        <f t="shared" si="4"/>
        <v>21</v>
      </c>
      <c r="S22" s="3"/>
      <c r="T22" s="3"/>
      <c r="U22" s="3"/>
      <c r="X22" s="3"/>
      <c r="Y22" s="3"/>
      <c r="Z22" s="3"/>
      <c r="AA22" s="3"/>
      <c r="AB22" s="3"/>
      <c r="AC22" s="3"/>
      <c r="AD22" s="3"/>
    </row>
    <row r="23" spans="3:30" x14ac:dyDescent="0.25">
      <c r="C23" s="3">
        <v>6</v>
      </c>
      <c r="D23" s="3">
        <f t="shared" si="5"/>
        <v>0.12098536225957168</v>
      </c>
      <c r="F23" s="3">
        <v>20</v>
      </c>
      <c r="G23" s="3">
        <f t="shared" si="1"/>
        <v>0.31304951684997051</v>
      </c>
      <c r="H23" s="3">
        <f t="shared" si="2"/>
        <v>7.5</v>
      </c>
      <c r="I23" s="3"/>
      <c r="J23" s="3"/>
      <c r="K23" s="3"/>
      <c r="L23" s="3"/>
      <c r="M23" s="3"/>
      <c r="O23" s="3">
        <v>20</v>
      </c>
      <c r="P23" s="3">
        <f t="shared" si="0"/>
        <v>0.2</v>
      </c>
      <c r="Q23" s="3">
        <f t="shared" si="3"/>
        <v>6</v>
      </c>
      <c r="R23" s="3">
        <f t="shared" si="4"/>
        <v>22</v>
      </c>
      <c r="S23" s="3"/>
      <c r="T23" s="3"/>
      <c r="U23" s="3"/>
      <c r="X23" s="3"/>
      <c r="Y23" s="3"/>
      <c r="Z23" s="3"/>
      <c r="AA23" s="3"/>
      <c r="AB23" s="3"/>
      <c r="AC23" s="3"/>
      <c r="AD23" s="3"/>
    </row>
    <row r="24" spans="3:30" x14ac:dyDescent="0.25">
      <c r="C24" s="3">
        <v>7</v>
      </c>
      <c r="D24" s="3">
        <f t="shared" si="5"/>
        <v>0.17603266338214976</v>
      </c>
      <c r="F24" s="3"/>
      <c r="G24" s="3"/>
      <c r="H24" s="3"/>
      <c r="I24" s="3"/>
      <c r="J24" s="3"/>
      <c r="K24" s="3"/>
      <c r="L24" s="3"/>
      <c r="M24" s="3"/>
      <c r="O24" s="3"/>
      <c r="P24" s="3"/>
      <c r="Q24" s="3"/>
      <c r="R24" s="3"/>
      <c r="S24" s="3"/>
      <c r="T24" s="3"/>
      <c r="U24" s="3"/>
      <c r="X24" s="3"/>
      <c r="Y24" s="3"/>
      <c r="Z24" s="3"/>
      <c r="AA24" s="3"/>
      <c r="AB24" s="3"/>
      <c r="AC24" s="3"/>
      <c r="AD24" s="3"/>
    </row>
    <row r="25" spans="3:30" x14ac:dyDescent="0.25">
      <c r="C25" s="3">
        <v>8</v>
      </c>
      <c r="D25" s="3">
        <f t="shared" si="5"/>
        <v>0.19947114020071635</v>
      </c>
      <c r="F25" s="3"/>
      <c r="G25" s="3"/>
      <c r="H25" s="3"/>
      <c r="I25" s="3"/>
      <c r="J25" s="3"/>
      <c r="K25" s="3"/>
      <c r="L25" s="3"/>
      <c r="M25" s="3"/>
      <c r="O25" s="3"/>
      <c r="P25" s="3"/>
      <c r="Q25" s="3"/>
      <c r="R25" s="3"/>
      <c r="S25" s="3"/>
      <c r="T25" s="3"/>
      <c r="U25" s="3"/>
      <c r="X25" s="3"/>
      <c r="Y25" s="3"/>
      <c r="Z25" s="3"/>
      <c r="AA25" s="3"/>
      <c r="AB25" s="3"/>
      <c r="AC25" s="3"/>
      <c r="AD25" s="3"/>
    </row>
    <row r="26" spans="3:30" x14ac:dyDescent="0.25">
      <c r="C26" s="3">
        <v>9</v>
      </c>
      <c r="D26" s="3">
        <f t="shared" si="5"/>
        <v>0.17603266338214976</v>
      </c>
      <c r="L26" s="2"/>
      <c r="O26" s="3"/>
      <c r="P26" s="3"/>
      <c r="Q26" s="3"/>
      <c r="R26" s="3"/>
      <c r="S26" s="3"/>
      <c r="T26" s="3"/>
      <c r="U26" s="3"/>
      <c r="X26" s="3"/>
      <c r="Y26" s="3"/>
      <c r="Z26" s="3"/>
      <c r="AA26" s="3"/>
      <c r="AB26" s="3"/>
      <c r="AC26" s="3"/>
      <c r="AD26" s="3"/>
    </row>
    <row r="27" spans="3:30" x14ac:dyDescent="0.25">
      <c r="C27" s="3">
        <v>10</v>
      </c>
      <c r="D27" s="3">
        <f t="shared" si="5"/>
        <v>0.12098536225957168</v>
      </c>
      <c r="F27" s="14" t="s">
        <v>31</v>
      </c>
      <c r="G27" s="14"/>
      <c r="I27" s="3"/>
      <c r="J27" s="3"/>
      <c r="K27" s="3"/>
      <c r="L27" s="3"/>
      <c r="O27" s="14" t="s">
        <v>32</v>
      </c>
      <c r="P27" s="14"/>
    </row>
    <row r="28" spans="3:30" x14ac:dyDescent="0.25">
      <c r="C28" s="3">
        <v>11</v>
      </c>
      <c r="D28" s="3">
        <f t="shared" si="5"/>
        <v>6.4758797832945872E-2</v>
      </c>
      <c r="F28" t="s">
        <v>17</v>
      </c>
      <c r="G28" t="s">
        <v>29</v>
      </c>
      <c r="H28" s="2" t="s">
        <v>40</v>
      </c>
      <c r="I28" s="2" t="s">
        <v>27</v>
      </c>
      <c r="J28" s="1" t="s">
        <v>35</v>
      </c>
      <c r="L28" s="2"/>
      <c r="M28" s="2"/>
      <c r="O28" t="s">
        <v>18</v>
      </c>
      <c r="P28" t="s">
        <v>33</v>
      </c>
      <c r="Q28" t="s">
        <v>27</v>
      </c>
      <c r="R28" s="13" t="s">
        <v>34</v>
      </c>
      <c r="S28" s="13"/>
    </row>
    <row r="29" spans="3:30" x14ac:dyDescent="0.25">
      <c r="C29" s="3">
        <v>12</v>
      </c>
      <c r="D29" s="3">
        <f t="shared" si="5"/>
        <v>2.6995483256594031E-2</v>
      </c>
      <c r="F29">
        <v>1</v>
      </c>
      <c r="G29">
        <f>-0.95*LN(F29)+4</f>
        <v>4</v>
      </c>
      <c r="H29">
        <f>-95/(1+EXP(0.4*(F29-$B$2)))+95</f>
        <v>5.4457967103925284</v>
      </c>
      <c r="I29" s="1"/>
      <c r="O29">
        <v>1</v>
      </c>
      <c r="P29">
        <f>(O29-$B$3+8)/4</f>
        <v>0.25</v>
      </c>
    </row>
    <row r="30" spans="3:30" x14ac:dyDescent="0.25">
      <c r="C30" s="3">
        <v>13</v>
      </c>
      <c r="D30" s="3">
        <f t="shared" si="5"/>
        <v>8.7641502467842702E-3</v>
      </c>
      <c r="F30">
        <v>2</v>
      </c>
      <c r="G30">
        <f t="shared" ref="G30:G48" si="6">-0.95*LN(F30)+4</f>
        <v>3.3415101784680519</v>
      </c>
      <c r="H30" s="2">
        <f t="shared" ref="H30:H48" si="7">-95/(1+EXP(0.4*(F30-$B$2)))+95</f>
        <v>7.9014061669226265</v>
      </c>
      <c r="L30" s="2"/>
      <c r="O30">
        <v>2</v>
      </c>
      <c r="P30">
        <f t="shared" ref="P30:P48" si="8">(O30-$B$3+8)/4</f>
        <v>0.5</v>
      </c>
    </row>
    <row r="31" spans="3:30" x14ac:dyDescent="0.25">
      <c r="C31" s="3">
        <v>14</v>
      </c>
      <c r="D31" s="3">
        <f t="shared" si="5"/>
        <v>2.2159242059690038E-3</v>
      </c>
      <c r="F31">
        <v>3</v>
      </c>
      <c r="G31">
        <f t="shared" si="6"/>
        <v>2.9563183257652961</v>
      </c>
      <c r="H31" s="2">
        <f t="shared" si="7"/>
        <v>11.324277592101183</v>
      </c>
      <c r="L31" s="2"/>
      <c r="O31">
        <v>3</v>
      </c>
      <c r="P31">
        <f t="shared" si="8"/>
        <v>0.75</v>
      </c>
    </row>
    <row r="32" spans="3:30" x14ac:dyDescent="0.25">
      <c r="C32" s="3">
        <v>15</v>
      </c>
      <c r="D32" s="3">
        <f t="shared" si="5"/>
        <v>4.3634134752288008E-4</v>
      </c>
      <c r="F32">
        <v>4</v>
      </c>
      <c r="G32">
        <f t="shared" si="6"/>
        <v>2.6830203569361037</v>
      </c>
      <c r="H32" s="2">
        <f t="shared" si="7"/>
        <v>15.958253412277173</v>
      </c>
      <c r="L32" s="2"/>
      <c r="O32">
        <v>4</v>
      </c>
      <c r="P32">
        <f t="shared" si="8"/>
        <v>1</v>
      </c>
    </row>
    <row r="33" spans="1:16" x14ac:dyDescent="0.25">
      <c r="C33" s="3"/>
      <c r="F33">
        <v>5</v>
      </c>
      <c r="G33">
        <f t="shared" si="6"/>
        <v>2.4710339831876045</v>
      </c>
      <c r="H33" s="2">
        <f t="shared" si="7"/>
        <v>21.990145567593316</v>
      </c>
      <c r="L33" s="2"/>
      <c r="O33">
        <v>5</v>
      </c>
      <c r="P33">
        <f t="shared" si="8"/>
        <v>1.25</v>
      </c>
    </row>
    <row r="34" spans="1:16" x14ac:dyDescent="0.25">
      <c r="A34" s="3"/>
      <c r="B34" s="3"/>
      <c r="C34" s="3" t="s">
        <v>18</v>
      </c>
      <c r="D34" s="3" t="s">
        <v>49</v>
      </c>
      <c r="F34">
        <v>6</v>
      </c>
      <c r="G34">
        <f t="shared" si="6"/>
        <v>2.2978285042333479</v>
      </c>
      <c r="H34" s="2">
        <f t="shared" si="7"/>
        <v>29.452424292876813</v>
      </c>
      <c r="L34" s="2"/>
      <c r="O34">
        <v>6</v>
      </c>
      <c r="P34">
        <f t="shared" si="8"/>
        <v>1.5</v>
      </c>
    </row>
    <row r="35" spans="1:16" x14ac:dyDescent="0.25">
      <c r="A35" s="3"/>
      <c r="B35" s="3"/>
      <c r="C35" s="3">
        <v>1</v>
      </c>
      <c r="D35" s="3">
        <f>_xlfn.NORM.DIST(C35,$B$3,$C$3, FALSE)</f>
        <v>4.3634134752288008E-4</v>
      </c>
      <c r="F35">
        <v>7</v>
      </c>
      <c r="G35">
        <f t="shared" si="6"/>
        <v>2.1513853583974525</v>
      </c>
      <c r="H35" s="2">
        <f t="shared" si="7"/>
        <v>38.124672289317061</v>
      </c>
      <c r="L35" s="2"/>
      <c r="O35">
        <v>7</v>
      </c>
      <c r="P35">
        <f t="shared" si="8"/>
        <v>1.75</v>
      </c>
    </row>
    <row r="36" spans="1:16" x14ac:dyDescent="0.25">
      <c r="A36" s="3"/>
      <c r="B36" s="3"/>
      <c r="C36" s="3">
        <v>2</v>
      </c>
      <c r="D36" s="3">
        <f t="shared" ref="D36:D49" si="9">_xlfn.NORM.DIST(C36,$B$3,$C$3, FALSE)</f>
        <v>2.2159242059690038E-3</v>
      </c>
      <c r="F36">
        <v>8</v>
      </c>
      <c r="G36">
        <f t="shared" si="6"/>
        <v>2.0245305354041561</v>
      </c>
      <c r="H36" s="2">
        <f t="shared" si="7"/>
        <v>47.5</v>
      </c>
      <c r="L36" s="2"/>
      <c r="O36">
        <v>8</v>
      </c>
      <c r="P36">
        <f t="shared" si="8"/>
        <v>2</v>
      </c>
    </row>
    <row r="37" spans="1:16" x14ac:dyDescent="0.25">
      <c r="A37" s="3"/>
      <c r="B37" s="3"/>
      <c r="C37" s="3">
        <v>3</v>
      </c>
      <c r="D37" s="3">
        <f t="shared" si="9"/>
        <v>8.7641502467842702E-3</v>
      </c>
      <c r="F37">
        <v>9</v>
      </c>
      <c r="G37">
        <f t="shared" si="6"/>
        <v>1.9126366515305917</v>
      </c>
      <c r="H37" s="2">
        <f t="shared" si="7"/>
        <v>56.875327710682939</v>
      </c>
      <c r="L37" s="2"/>
      <c r="O37">
        <v>9</v>
      </c>
      <c r="P37">
        <f t="shared" si="8"/>
        <v>2.25</v>
      </c>
    </row>
    <row r="38" spans="1:16" x14ac:dyDescent="0.25">
      <c r="A38" s="3"/>
      <c r="B38" s="3"/>
      <c r="C38" s="3">
        <v>4</v>
      </c>
      <c r="D38" s="3">
        <f t="shared" si="9"/>
        <v>2.6995483256594031E-2</v>
      </c>
      <c r="F38">
        <v>10</v>
      </c>
      <c r="G38">
        <f t="shared" si="6"/>
        <v>1.8125441616556563</v>
      </c>
      <c r="H38" s="2">
        <f t="shared" si="7"/>
        <v>65.547575707123187</v>
      </c>
      <c r="L38" s="2"/>
      <c r="O38">
        <v>10</v>
      </c>
      <c r="P38">
        <f t="shared" si="8"/>
        <v>2.5</v>
      </c>
    </row>
    <row r="39" spans="1:16" x14ac:dyDescent="0.25">
      <c r="A39" s="3"/>
      <c r="B39" s="3"/>
      <c r="C39" s="3">
        <v>5</v>
      </c>
      <c r="D39" s="3">
        <f t="shared" si="9"/>
        <v>6.4758797832945872E-2</v>
      </c>
      <c r="F39">
        <v>11</v>
      </c>
      <c r="G39">
        <f t="shared" si="6"/>
        <v>1.7219994908415481</v>
      </c>
      <c r="H39" s="2">
        <f t="shared" si="7"/>
        <v>73.009854432406684</v>
      </c>
      <c r="L39" s="2"/>
      <c r="O39">
        <v>11</v>
      </c>
      <c r="P39">
        <f t="shared" si="8"/>
        <v>2.75</v>
      </c>
    </row>
    <row r="40" spans="1:16" x14ac:dyDescent="0.25">
      <c r="A40" s="3"/>
      <c r="B40" s="3"/>
      <c r="C40" s="3">
        <v>6</v>
      </c>
      <c r="D40" s="3">
        <f t="shared" si="9"/>
        <v>0.12098536225957168</v>
      </c>
      <c r="F40">
        <v>12</v>
      </c>
      <c r="G40">
        <f t="shared" si="6"/>
        <v>1.6393386827013998</v>
      </c>
      <c r="H40" s="2">
        <f t="shared" si="7"/>
        <v>79.041746587722827</v>
      </c>
      <c r="L40" s="2"/>
      <c r="O40">
        <v>12</v>
      </c>
      <c r="P40">
        <f t="shared" si="8"/>
        <v>3</v>
      </c>
    </row>
    <row r="41" spans="1:16" x14ac:dyDescent="0.25">
      <c r="A41" s="3"/>
      <c r="B41" s="3"/>
      <c r="C41" s="3">
        <v>7</v>
      </c>
      <c r="D41" s="3">
        <f t="shared" si="9"/>
        <v>0.17603266338214976</v>
      </c>
      <c r="F41">
        <v>13</v>
      </c>
      <c r="G41">
        <f t="shared" si="6"/>
        <v>1.5632981104115404</v>
      </c>
      <c r="H41" s="2">
        <f t="shared" si="7"/>
        <v>83.675722407898832</v>
      </c>
      <c r="I41" t="s">
        <v>27</v>
      </c>
      <c r="J41" s="5" t="s">
        <v>41</v>
      </c>
      <c r="K41" s="4"/>
      <c r="L41" s="2"/>
      <c r="O41">
        <v>13</v>
      </c>
      <c r="P41">
        <f t="shared" si="8"/>
        <v>3.25</v>
      </c>
    </row>
    <row r="42" spans="1:16" x14ac:dyDescent="0.25">
      <c r="A42" s="3"/>
      <c r="B42" s="3"/>
      <c r="C42" s="3">
        <v>8</v>
      </c>
      <c r="D42" s="3">
        <f t="shared" si="9"/>
        <v>0.19947114020071635</v>
      </c>
      <c r="F42">
        <v>14</v>
      </c>
      <c r="G42">
        <f t="shared" si="6"/>
        <v>1.4928955368655048</v>
      </c>
      <c r="H42" s="2">
        <f t="shared" si="7"/>
        <v>87.098593833077373</v>
      </c>
      <c r="L42" s="4"/>
      <c r="O42">
        <v>14</v>
      </c>
      <c r="P42">
        <f t="shared" si="8"/>
        <v>3.5</v>
      </c>
    </row>
    <row r="43" spans="1:16" x14ac:dyDescent="0.25">
      <c r="A43" s="3"/>
      <c r="B43" s="3"/>
      <c r="C43" s="3">
        <v>9</v>
      </c>
      <c r="D43" s="3">
        <f t="shared" si="9"/>
        <v>0.17603266338214976</v>
      </c>
      <c r="F43">
        <v>15</v>
      </c>
      <c r="G43">
        <f t="shared" si="6"/>
        <v>1.4273523089529006</v>
      </c>
      <c r="H43" s="2">
        <f t="shared" si="7"/>
        <v>89.554203289607472</v>
      </c>
      <c r="L43" s="2"/>
      <c r="O43">
        <v>15</v>
      </c>
      <c r="P43">
        <f t="shared" si="8"/>
        <v>3.75</v>
      </c>
    </row>
    <row r="44" spans="1:16" x14ac:dyDescent="0.25">
      <c r="A44" s="3"/>
      <c r="B44" s="3"/>
      <c r="C44" s="3">
        <v>10</v>
      </c>
      <c r="D44" s="3">
        <f t="shared" si="9"/>
        <v>0.12098536225957168</v>
      </c>
      <c r="F44">
        <v>16</v>
      </c>
      <c r="G44">
        <f t="shared" si="6"/>
        <v>1.3660407138722079</v>
      </c>
      <c r="H44" s="2">
        <f t="shared" si="7"/>
        <v>91.279256334307391</v>
      </c>
      <c r="L44" s="2"/>
      <c r="O44">
        <v>16</v>
      </c>
      <c r="P44">
        <f t="shared" si="8"/>
        <v>4</v>
      </c>
    </row>
    <row r="45" spans="1:16" x14ac:dyDescent="0.25">
      <c r="A45" s="3"/>
      <c r="B45" s="3"/>
      <c r="C45" s="3">
        <v>11</v>
      </c>
      <c r="D45" s="3">
        <f t="shared" si="9"/>
        <v>6.4758797832945872E-2</v>
      </c>
      <c r="F45">
        <v>17</v>
      </c>
      <c r="G45">
        <f t="shared" si="6"/>
        <v>1.308447323146595</v>
      </c>
      <c r="H45" s="2">
        <f t="shared" si="7"/>
        <v>92.473285610197749</v>
      </c>
      <c r="L45" s="2"/>
      <c r="O45">
        <v>17</v>
      </c>
      <c r="P45">
        <f t="shared" si="8"/>
        <v>4.25</v>
      </c>
    </row>
    <row r="46" spans="1:16" x14ac:dyDescent="0.25">
      <c r="A46" s="3"/>
      <c r="B46" s="3"/>
      <c r="C46" s="3">
        <v>12</v>
      </c>
      <c r="D46" s="3">
        <f t="shared" si="9"/>
        <v>2.6995483256594031E-2</v>
      </c>
      <c r="F46">
        <v>18</v>
      </c>
      <c r="G46">
        <f t="shared" si="6"/>
        <v>1.254146829998644</v>
      </c>
      <c r="H46" s="2">
        <f t="shared" si="7"/>
        <v>93.291310053601308</v>
      </c>
      <c r="L46" s="2"/>
      <c r="O46">
        <v>18</v>
      </c>
      <c r="P46">
        <f t="shared" si="8"/>
        <v>4.5</v>
      </c>
    </row>
    <row r="47" spans="1:16" x14ac:dyDescent="0.25">
      <c r="A47" s="3"/>
      <c r="B47" s="3"/>
      <c r="C47" s="3">
        <v>13</v>
      </c>
      <c r="D47" s="3">
        <f t="shared" si="9"/>
        <v>8.7641502467842702E-3</v>
      </c>
      <c r="F47">
        <v>19</v>
      </c>
      <c r="G47">
        <f t="shared" si="6"/>
        <v>1.2027829697918819</v>
      </c>
      <c r="H47" s="2">
        <f t="shared" si="7"/>
        <v>93.847798676493952</v>
      </c>
      <c r="L47" s="2"/>
      <c r="O47">
        <v>19</v>
      </c>
      <c r="P47">
        <f t="shared" si="8"/>
        <v>4.75</v>
      </c>
    </row>
    <row r="48" spans="1:16" x14ac:dyDescent="0.25">
      <c r="A48" s="3"/>
      <c r="B48" s="3"/>
      <c r="C48" s="3">
        <v>14</v>
      </c>
      <c r="D48" s="3">
        <f t="shared" si="9"/>
        <v>2.2159242059690038E-3</v>
      </c>
      <c r="F48">
        <v>20</v>
      </c>
      <c r="G48">
        <f t="shared" si="6"/>
        <v>1.1540543401237087</v>
      </c>
      <c r="H48" s="2">
        <f t="shared" si="7"/>
        <v>94.224555740449816</v>
      </c>
      <c r="L48" s="2"/>
      <c r="O48">
        <v>20</v>
      </c>
      <c r="P48">
        <f t="shared" si="8"/>
        <v>5</v>
      </c>
    </row>
    <row r="49" spans="1:12" x14ac:dyDescent="0.25">
      <c r="A49" s="3"/>
      <c r="B49" s="3"/>
      <c r="C49" s="3">
        <v>15</v>
      </c>
      <c r="D49" s="3">
        <f t="shared" si="9"/>
        <v>4.3634134752288008E-4</v>
      </c>
      <c r="L49" s="2"/>
    </row>
    <row r="51" spans="1:12" x14ac:dyDescent="0.25">
      <c r="A51" s="3"/>
      <c r="B51" s="3"/>
      <c r="C51" s="3" t="s">
        <v>48</v>
      </c>
      <c r="D51" s="3" t="s">
        <v>49</v>
      </c>
    </row>
    <row r="52" spans="1:12" x14ac:dyDescent="0.25">
      <c r="A52" s="3"/>
      <c r="B52" s="3"/>
      <c r="C52" s="3">
        <v>1</v>
      </c>
      <c r="D52" s="3">
        <f>_xlfn.NORM.DIST(C52,$B$4,$C$4, FALSE)</f>
        <v>2.2733906253977632E-3</v>
      </c>
    </row>
    <row r="53" spans="1:12" x14ac:dyDescent="0.25">
      <c r="A53" s="3"/>
      <c r="B53" s="3"/>
      <c r="C53" s="3">
        <v>2</v>
      </c>
      <c r="D53" s="3">
        <f t="shared" ref="D53:D74" si="10">_xlfn.NORM.DIST(C53,$B$4,$C$4, FALSE)</f>
        <v>4.3820751233921351E-3</v>
      </c>
    </row>
    <row r="54" spans="1:12" x14ac:dyDescent="0.25">
      <c r="A54" s="3"/>
      <c r="B54" s="3"/>
      <c r="C54" s="3">
        <v>3</v>
      </c>
      <c r="D54" s="3">
        <f t="shared" si="10"/>
        <v>7.9349129589168545E-3</v>
      </c>
    </row>
    <row r="55" spans="1:12" x14ac:dyDescent="0.25">
      <c r="A55" s="3"/>
      <c r="B55" s="3"/>
      <c r="C55" s="3">
        <v>4</v>
      </c>
      <c r="D55" s="3">
        <f t="shared" si="10"/>
        <v>1.3497741628297016E-2</v>
      </c>
    </row>
    <row r="56" spans="1:12" x14ac:dyDescent="0.25">
      <c r="A56" s="3"/>
      <c r="B56" s="3"/>
      <c r="C56" s="3">
        <v>5</v>
      </c>
      <c r="D56" s="3">
        <f t="shared" si="10"/>
        <v>2.1569329706627883E-2</v>
      </c>
    </row>
    <row r="57" spans="1:12" x14ac:dyDescent="0.25">
      <c r="A57" s="3"/>
      <c r="B57" s="3"/>
      <c r="C57" s="3">
        <v>6</v>
      </c>
      <c r="D57" s="3">
        <f t="shared" si="10"/>
        <v>3.2379398916472936E-2</v>
      </c>
    </row>
    <row r="58" spans="1:12" x14ac:dyDescent="0.25">
      <c r="A58" s="3"/>
      <c r="B58" s="3"/>
      <c r="C58" s="3">
        <v>7</v>
      </c>
      <c r="D58" s="3">
        <f t="shared" si="10"/>
        <v>4.5662271347255479E-2</v>
      </c>
    </row>
    <row r="59" spans="1:12" x14ac:dyDescent="0.25">
      <c r="A59" s="3"/>
      <c r="B59" s="3"/>
      <c r="C59" s="3">
        <v>8</v>
      </c>
      <c r="D59" s="3">
        <f t="shared" si="10"/>
        <v>6.0492681129785841E-2</v>
      </c>
    </row>
    <row r="60" spans="1:12" x14ac:dyDescent="0.25">
      <c r="A60" s="3"/>
      <c r="B60" s="3"/>
      <c r="C60" s="3">
        <v>9</v>
      </c>
      <c r="D60" s="3">
        <f t="shared" si="10"/>
        <v>7.5284358038701107E-2</v>
      </c>
    </row>
    <row r="61" spans="1:12" x14ac:dyDescent="0.25">
      <c r="A61" s="3"/>
      <c r="B61" s="3"/>
      <c r="C61" s="3">
        <v>10</v>
      </c>
      <c r="D61" s="3">
        <f t="shared" si="10"/>
        <v>8.8016331691074881E-2</v>
      </c>
    </row>
    <row r="62" spans="1:12" x14ac:dyDescent="0.25">
      <c r="A62" s="3"/>
      <c r="B62" s="3"/>
      <c r="C62" s="3">
        <v>11</v>
      </c>
      <c r="D62" s="3">
        <f t="shared" si="10"/>
        <v>9.6667029200712309E-2</v>
      </c>
    </row>
    <row r="63" spans="1:12" x14ac:dyDescent="0.25">
      <c r="A63" s="3"/>
      <c r="B63" s="3"/>
      <c r="C63" s="3">
        <v>12</v>
      </c>
      <c r="D63" s="3">
        <f t="shared" si="10"/>
        <v>9.9735570100358176E-2</v>
      </c>
    </row>
    <row r="64" spans="1:12" x14ac:dyDescent="0.25">
      <c r="A64" s="3"/>
      <c r="B64" s="3"/>
      <c r="C64" s="3">
        <v>13</v>
      </c>
      <c r="D64" s="3">
        <f t="shared" si="10"/>
        <v>9.6667029200712309E-2</v>
      </c>
    </row>
    <row r="65" spans="1:4" x14ac:dyDescent="0.25">
      <c r="A65" s="3"/>
      <c r="B65" s="3"/>
      <c r="C65" s="3">
        <v>14</v>
      </c>
      <c r="D65" s="3">
        <f t="shared" si="10"/>
        <v>8.8016331691074881E-2</v>
      </c>
    </row>
    <row r="66" spans="1:4" x14ac:dyDescent="0.25">
      <c r="A66" s="3"/>
      <c r="B66" s="3"/>
      <c r="C66" s="3">
        <v>15</v>
      </c>
      <c r="D66" s="3">
        <f t="shared" si="10"/>
        <v>7.5284358038701107E-2</v>
      </c>
    </row>
    <row r="67" spans="1:4" x14ac:dyDescent="0.25">
      <c r="C67">
        <v>16</v>
      </c>
      <c r="D67" s="3">
        <f t="shared" si="10"/>
        <v>6.0492681129785841E-2</v>
      </c>
    </row>
    <row r="68" spans="1:4" x14ac:dyDescent="0.25">
      <c r="C68">
        <v>17</v>
      </c>
      <c r="D68" s="3">
        <f t="shared" si="10"/>
        <v>4.5662271347255479E-2</v>
      </c>
    </row>
    <row r="69" spans="1:4" x14ac:dyDescent="0.25">
      <c r="C69">
        <v>18</v>
      </c>
      <c r="D69" s="3">
        <f t="shared" si="10"/>
        <v>3.2379398916472936E-2</v>
      </c>
    </row>
    <row r="70" spans="1:4" x14ac:dyDescent="0.25">
      <c r="C70">
        <v>19</v>
      </c>
      <c r="D70" s="3">
        <f t="shared" si="10"/>
        <v>2.1569329706627883E-2</v>
      </c>
    </row>
    <row r="71" spans="1:4" x14ac:dyDescent="0.25">
      <c r="C71">
        <v>20</v>
      </c>
      <c r="D71" s="3">
        <f t="shared" si="10"/>
        <v>1.3497741628297016E-2</v>
      </c>
    </row>
    <row r="72" spans="1:4" x14ac:dyDescent="0.25">
      <c r="C72">
        <v>21</v>
      </c>
      <c r="D72" s="3">
        <f t="shared" si="10"/>
        <v>7.9349129589168545E-3</v>
      </c>
    </row>
    <row r="73" spans="1:4" x14ac:dyDescent="0.25">
      <c r="C73">
        <v>22</v>
      </c>
      <c r="D73" s="3">
        <f t="shared" si="10"/>
        <v>4.3820751233921351E-3</v>
      </c>
    </row>
    <row r="74" spans="1:4" x14ac:dyDescent="0.25">
      <c r="C74">
        <v>23</v>
      </c>
      <c r="D74" s="3">
        <f t="shared" si="10"/>
        <v>2.2733906253977632E-3</v>
      </c>
    </row>
  </sheetData>
  <mergeCells count="14">
    <mergeCell ref="Y3:Z3"/>
    <mergeCell ref="C1:D1"/>
    <mergeCell ref="AC15:AD15"/>
    <mergeCell ref="J3:K3"/>
    <mergeCell ref="J14:K14"/>
    <mergeCell ref="O2:P2"/>
    <mergeCell ref="T15:U15"/>
    <mergeCell ref="B15:C15"/>
    <mergeCell ref="R28:S28"/>
    <mergeCell ref="F2:H2"/>
    <mergeCell ref="F27:G27"/>
    <mergeCell ref="O27:P27"/>
    <mergeCell ref="R1:S1"/>
    <mergeCell ref="R2:S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003F-703F-464E-921A-4ED73933B213}">
  <dimension ref="A2:K27"/>
  <sheetViews>
    <sheetView workbookViewId="0">
      <selection activeCell="A11" sqref="A11"/>
    </sheetView>
  </sheetViews>
  <sheetFormatPr defaultRowHeight="15" x14ac:dyDescent="0.25"/>
  <cols>
    <col min="1" max="1" width="15.5703125" bestFit="1" customWidth="1"/>
    <col min="2" max="2" width="9.7109375" customWidth="1"/>
    <col min="8" max="8" width="11.5703125" bestFit="1" customWidth="1"/>
    <col min="9" max="9" width="14.28515625" bestFit="1" customWidth="1"/>
    <col min="10" max="10" width="11.5703125" bestFit="1" customWidth="1"/>
    <col min="11" max="11" width="19.5703125" bestFit="1" customWidth="1"/>
  </cols>
  <sheetData>
    <row r="2" spans="1:11" x14ac:dyDescent="0.25">
      <c r="A2" t="s">
        <v>50</v>
      </c>
      <c r="B2" s="13" t="s">
        <v>51</v>
      </c>
      <c r="C2" s="13"/>
      <c r="D2" s="13"/>
      <c r="H2" t="s">
        <v>56</v>
      </c>
      <c r="I2" t="s">
        <v>57</v>
      </c>
      <c r="J2" t="s">
        <v>58</v>
      </c>
      <c r="K2" t="s">
        <v>59</v>
      </c>
    </row>
    <row r="3" spans="1:11" x14ac:dyDescent="0.25">
      <c r="A3" t="s">
        <v>52</v>
      </c>
      <c r="B3" s="13" t="s">
        <v>53</v>
      </c>
      <c r="C3" s="13"/>
      <c r="D3" s="13"/>
      <c r="E3" s="13"/>
      <c r="F3" s="13"/>
      <c r="H3">
        <v>1</v>
      </c>
      <c r="I3">
        <f>H3*$B$6</f>
        <v>5</v>
      </c>
      <c r="J3">
        <f>H3*$B$7</f>
        <v>3</v>
      </c>
      <c r="K3">
        <f>I3-J3</f>
        <v>2</v>
      </c>
    </row>
    <row r="4" spans="1:11" x14ac:dyDescent="0.25">
      <c r="A4" s="10" t="s">
        <v>75</v>
      </c>
      <c r="B4" s="13" t="s">
        <v>78</v>
      </c>
      <c r="C4" s="13"/>
      <c r="D4" s="13"/>
      <c r="E4" s="13"/>
      <c r="H4">
        <v>2</v>
      </c>
      <c r="I4" s="6">
        <f t="shared" ref="I4:I27" si="0">H4*$B$6</f>
        <v>10</v>
      </c>
      <c r="J4" s="6">
        <f t="shared" ref="J4:J27" si="1">H4*$B$7</f>
        <v>6</v>
      </c>
      <c r="K4" s="6">
        <f t="shared" ref="K4:K27" si="2">I4-J4</f>
        <v>4</v>
      </c>
    </row>
    <row r="5" spans="1:11" x14ac:dyDescent="0.25">
      <c r="A5" s="10" t="s">
        <v>79</v>
      </c>
      <c r="B5" s="13" t="s">
        <v>80</v>
      </c>
      <c r="C5" s="13"/>
      <c r="H5">
        <v>3</v>
      </c>
      <c r="I5" s="6">
        <f t="shared" si="0"/>
        <v>15</v>
      </c>
      <c r="J5" s="6">
        <f t="shared" si="1"/>
        <v>9</v>
      </c>
      <c r="K5" s="6">
        <f t="shared" si="2"/>
        <v>6</v>
      </c>
    </row>
    <row r="6" spans="1:11" x14ac:dyDescent="0.25">
      <c r="A6" t="s">
        <v>54</v>
      </c>
      <c r="B6">
        <v>5</v>
      </c>
      <c r="H6">
        <v>4</v>
      </c>
      <c r="I6" s="6">
        <f t="shared" si="0"/>
        <v>20</v>
      </c>
      <c r="J6" s="6">
        <f t="shared" si="1"/>
        <v>12</v>
      </c>
      <c r="K6" s="6">
        <f t="shared" si="2"/>
        <v>8</v>
      </c>
    </row>
    <row r="7" spans="1:11" x14ac:dyDescent="0.25">
      <c r="A7" t="s">
        <v>55</v>
      </c>
      <c r="B7">
        <v>3</v>
      </c>
      <c r="H7">
        <v>5</v>
      </c>
      <c r="I7" s="6">
        <f t="shared" si="0"/>
        <v>25</v>
      </c>
      <c r="J7" s="6">
        <f t="shared" si="1"/>
        <v>15</v>
      </c>
      <c r="K7" s="6">
        <f t="shared" si="2"/>
        <v>10</v>
      </c>
    </row>
    <row r="8" spans="1:11" x14ac:dyDescent="0.25">
      <c r="H8">
        <v>6</v>
      </c>
      <c r="I8" s="6">
        <f t="shared" si="0"/>
        <v>30</v>
      </c>
      <c r="J8" s="6">
        <f t="shared" si="1"/>
        <v>18</v>
      </c>
      <c r="K8" s="6">
        <f t="shared" si="2"/>
        <v>12</v>
      </c>
    </row>
    <row r="9" spans="1:11" x14ac:dyDescent="0.25">
      <c r="A9" t="s">
        <v>98</v>
      </c>
      <c r="B9">
        <v>0.5</v>
      </c>
      <c r="H9">
        <v>7</v>
      </c>
      <c r="I9" s="6">
        <f t="shared" si="0"/>
        <v>35</v>
      </c>
      <c r="J9" s="6">
        <f t="shared" si="1"/>
        <v>21</v>
      </c>
      <c r="K9" s="6">
        <f t="shared" si="2"/>
        <v>14</v>
      </c>
    </row>
    <row r="10" spans="1:11" x14ac:dyDescent="0.25">
      <c r="H10">
        <v>8</v>
      </c>
      <c r="I10" s="6">
        <f t="shared" si="0"/>
        <v>40</v>
      </c>
      <c r="J10" s="6">
        <f t="shared" si="1"/>
        <v>24</v>
      </c>
      <c r="K10" s="6">
        <f t="shared" si="2"/>
        <v>16</v>
      </c>
    </row>
    <row r="11" spans="1:11" x14ac:dyDescent="0.25">
      <c r="H11">
        <v>9</v>
      </c>
      <c r="I11" s="6">
        <f t="shared" si="0"/>
        <v>45</v>
      </c>
      <c r="J11" s="6">
        <f t="shared" si="1"/>
        <v>27</v>
      </c>
      <c r="K11" s="6">
        <f t="shared" si="2"/>
        <v>18</v>
      </c>
    </row>
    <row r="12" spans="1:11" x14ac:dyDescent="0.25">
      <c r="H12">
        <v>10</v>
      </c>
      <c r="I12" s="6">
        <f t="shared" si="0"/>
        <v>50</v>
      </c>
      <c r="J12" s="6">
        <f t="shared" si="1"/>
        <v>30</v>
      </c>
      <c r="K12" s="6">
        <f t="shared" si="2"/>
        <v>20</v>
      </c>
    </row>
    <row r="13" spans="1:11" x14ac:dyDescent="0.25">
      <c r="H13">
        <v>11</v>
      </c>
      <c r="I13">
        <f t="shared" si="0"/>
        <v>55</v>
      </c>
      <c r="J13">
        <f t="shared" si="1"/>
        <v>33</v>
      </c>
      <c r="K13">
        <f t="shared" si="2"/>
        <v>22</v>
      </c>
    </row>
    <row r="14" spans="1:11" x14ac:dyDescent="0.25">
      <c r="H14">
        <v>12</v>
      </c>
      <c r="I14">
        <f t="shared" si="0"/>
        <v>60</v>
      </c>
      <c r="J14">
        <f t="shared" si="1"/>
        <v>36</v>
      </c>
      <c r="K14">
        <f t="shared" si="2"/>
        <v>24</v>
      </c>
    </row>
    <row r="15" spans="1:11" x14ac:dyDescent="0.25">
      <c r="H15">
        <v>13</v>
      </c>
      <c r="I15">
        <f t="shared" si="0"/>
        <v>65</v>
      </c>
      <c r="J15">
        <f t="shared" si="1"/>
        <v>39</v>
      </c>
      <c r="K15">
        <f t="shared" si="2"/>
        <v>26</v>
      </c>
    </row>
    <row r="16" spans="1:11" x14ac:dyDescent="0.25">
      <c r="H16">
        <v>14</v>
      </c>
      <c r="I16">
        <f t="shared" si="0"/>
        <v>70</v>
      </c>
      <c r="J16">
        <f t="shared" si="1"/>
        <v>42</v>
      </c>
      <c r="K16">
        <f t="shared" si="2"/>
        <v>28</v>
      </c>
    </row>
    <row r="17" spans="8:11" x14ac:dyDescent="0.25">
      <c r="H17">
        <v>15</v>
      </c>
      <c r="I17">
        <f t="shared" si="0"/>
        <v>75</v>
      </c>
      <c r="J17">
        <f t="shared" si="1"/>
        <v>45</v>
      </c>
      <c r="K17">
        <f t="shared" si="2"/>
        <v>30</v>
      </c>
    </row>
    <row r="18" spans="8:11" x14ac:dyDescent="0.25">
      <c r="H18">
        <v>16</v>
      </c>
      <c r="I18">
        <f t="shared" si="0"/>
        <v>80</v>
      </c>
      <c r="J18">
        <f t="shared" si="1"/>
        <v>48</v>
      </c>
      <c r="K18">
        <f t="shared" si="2"/>
        <v>32</v>
      </c>
    </row>
    <row r="19" spans="8:11" x14ac:dyDescent="0.25">
      <c r="H19">
        <v>17</v>
      </c>
      <c r="I19">
        <f t="shared" si="0"/>
        <v>85</v>
      </c>
      <c r="J19">
        <f t="shared" si="1"/>
        <v>51</v>
      </c>
      <c r="K19">
        <f t="shared" si="2"/>
        <v>34</v>
      </c>
    </row>
    <row r="20" spans="8:11" x14ac:dyDescent="0.25">
      <c r="H20">
        <v>18</v>
      </c>
      <c r="I20">
        <f t="shared" si="0"/>
        <v>90</v>
      </c>
      <c r="J20">
        <f t="shared" si="1"/>
        <v>54</v>
      </c>
      <c r="K20">
        <f t="shared" si="2"/>
        <v>36</v>
      </c>
    </row>
    <row r="21" spans="8:11" x14ac:dyDescent="0.25">
      <c r="H21">
        <v>19</v>
      </c>
      <c r="I21">
        <f t="shared" si="0"/>
        <v>95</v>
      </c>
      <c r="J21">
        <f t="shared" si="1"/>
        <v>57</v>
      </c>
      <c r="K21">
        <f t="shared" si="2"/>
        <v>38</v>
      </c>
    </row>
    <row r="22" spans="8:11" x14ac:dyDescent="0.25">
      <c r="H22">
        <v>20</v>
      </c>
      <c r="I22">
        <f t="shared" si="0"/>
        <v>100</v>
      </c>
      <c r="J22">
        <f t="shared" si="1"/>
        <v>60</v>
      </c>
      <c r="K22">
        <f t="shared" si="2"/>
        <v>40</v>
      </c>
    </row>
    <row r="23" spans="8:11" x14ac:dyDescent="0.25">
      <c r="H23">
        <v>21</v>
      </c>
      <c r="I23">
        <f t="shared" si="0"/>
        <v>105</v>
      </c>
      <c r="J23">
        <f t="shared" si="1"/>
        <v>63</v>
      </c>
      <c r="K23">
        <f t="shared" si="2"/>
        <v>42</v>
      </c>
    </row>
    <row r="24" spans="8:11" x14ac:dyDescent="0.25">
      <c r="H24">
        <v>22</v>
      </c>
      <c r="I24">
        <f t="shared" si="0"/>
        <v>110</v>
      </c>
      <c r="J24">
        <f t="shared" si="1"/>
        <v>66</v>
      </c>
      <c r="K24">
        <f t="shared" si="2"/>
        <v>44</v>
      </c>
    </row>
    <row r="25" spans="8:11" x14ac:dyDescent="0.25">
      <c r="H25">
        <v>23</v>
      </c>
      <c r="I25">
        <f t="shared" si="0"/>
        <v>115</v>
      </c>
      <c r="J25">
        <f t="shared" si="1"/>
        <v>69</v>
      </c>
      <c r="K25">
        <f t="shared" si="2"/>
        <v>46</v>
      </c>
    </row>
    <row r="26" spans="8:11" x14ac:dyDescent="0.25">
      <c r="H26">
        <v>24</v>
      </c>
      <c r="I26">
        <f t="shared" si="0"/>
        <v>120</v>
      </c>
      <c r="J26">
        <f t="shared" si="1"/>
        <v>72</v>
      </c>
      <c r="K26">
        <f t="shared" si="2"/>
        <v>48</v>
      </c>
    </row>
    <row r="27" spans="8:11" x14ac:dyDescent="0.25">
      <c r="H27">
        <v>25</v>
      </c>
      <c r="I27">
        <f t="shared" si="0"/>
        <v>125</v>
      </c>
      <c r="J27">
        <f t="shared" si="1"/>
        <v>75</v>
      </c>
      <c r="K27">
        <f t="shared" si="2"/>
        <v>50</v>
      </c>
    </row>
  </sheetData>
  <mergeCells count="4">
    <mergeCell ref="B2:D2"/>
    <mergeCell ref="B3:F3"/>
    <mergeCell ref="B4:E4"/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8C80-AFA6-4DF6-BE93-3344C1D1A340}">
  <dimension ref="A1:T23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6" max="6" width="8.5703125" customWidth="1"/>
    <col min="7" max="7" width="8.85546875" customWidth="1"/>
    <col min="8" max="8" width="11.5703125" bestFit="1" customWidth="1"/>
    <col min="20" max="20" width="11" bestFit="1" customWidth="1"/>
  </cols>
  <sheetData>
    <row r="1" spans="1:20" x14ac:dyDescent="0.25">
      <c r="A1" s="14" t="s">
        <v>60</v>
      </c>
      <c r="B1" s="14"/>
      <c r="E1" s="14" t="s">
        <v>66</v>
      </c>
      <c r="F1" s="14"/>
      <c r="R1" s="14" t="s">
        <v>71</v>
      </c>
      <c r="S1" s="14"/>
    </row>
    <row r="2" spans="1:20" x14ac:dyDescent="0.25">
      <c r="B2" t="s">
        <v>62</v>
      </c>
      <c r="C2" t="s">
        <v>63</v>
      </c>
      <c r="E2" t="s">
        <v>67</v>
      </c>
      <c r="F2" t="s">
        <v>68</v>
      </c>
      <c r="G2" t="s">
        <v>69</v>
      </c>
      <c r="H2" t="s">
        <v>70</v>
      </c>
      <c r="R2" t="s">
        <v>72</v>
      </c>
      <c r="S2" t="s">
        <v>73</v>
      </c>
      <c r="T2" t="s">
        <v>74</v>
      </c>
    </row>
    <row r="3" spans="1:20" x14ac:dyDescent="0.25">
      <c r="A3" t="s">
        <v>61</v>
      </c>
      <c r="B3">
        <v>15</v>
      </c>
      <c r="C3">
        <v>30</v>
      </c>
      <c r="E3">
        <v>0</v>
      </c>
      <c r="F3">
        <f>-1.3*E3*100+100</f>
        <v>100</v>
      </c>
      <c r="G3">
        <f>-1.3*E3*100+120</f>
        <v>120</v>
      </c>
      <c r="H3">
        <f>G3-5</f>
        <v>115</v>
      </c>
      <c r="R3">
        <v>0</v>
      </c>
      <c r="S3">
        <f>-R3*100+90</f>
        <v>90</v>
      </c>
      <c r="T3">
        <f>-R3*100+110</f>
        <v>110</v>
      </c>
    </row>
    <row r="4" spans="1:20" x14ac:dyDescent="0.25">
      <c r="A4" t="s">
        <v>64</v>
      </c>
      <c r="B4">
        <v>2</v>
      </c>
      <c r="C4">
        <v>8</v>
      </c>
      <c r="E4">
        <v>0.05</v>
      </c>
      <c r="F4" s="8">
        <f t="shared" ref="F4:F23" si="0">-1.3*E4*100+100</f>
        <v>93.5</v>
      </c>
      <c r="G4" s="8">
        <f t="shared" ref="G4:G23" si="1">-1.3*E4*100+120</f>
        <v>113.5</v>
      </c>
      <c r="H4" s="8">
        <f t="shared" ref="H4:H23" si="2">G4-5</f>
        <v>108.5</v>
      </c>
      <c r="R4">
        <v>0.05</v>
      </c>
      <c r="S4" s="9">
        <f t="shared" ref="S4:S23" si="3">-R4*100+90</f>
        <v>85</v>
      </c>
      <c r="T4" s="9">
        <f t="shared" ref="T4:T23" si="4">-R4*100+110</f>
        <v>105</v>
      </c>
    </row>
    <row r="5" spans="1:20" x14ac:dyDescent="0.25">
      <c r="A5" t="s">
        <v>65</v>
      </c>
      <c r="B5">
        <v>1</v>
      </c>
      <c r="C5">
        <v>8</v>
      </c>
      <c r="E5">
        <v>0.1</v>
      </c>
      <c r="F5" s="8">
        <f t="shared" si="0"/>
        <v>87</v>
      </c>
      <c r="G5" s="8">
        <f t="shared" si="1"/>
        <v>107</v>
      </c>
      <c r="H5" s="8">
        <f t="shared" si="2"/>
        <v>102</v>
      </c>
      <c r="R5">
        <v>0.1</v>
      </c>
      <c r="S5" s="9">
        <f t="shared" si="3"/>
        <v>80</v>
      </c>
      <c r="T5" s="9">
        <f t="shared" si="4"/>
        <v>100</v>
      </c>
    </row>
    <row r="6" spans="1:20" x14ac:dyDescent="0.25">
      <c r="A6" t="s">
        <v>94</v>
      </c>
      <c r="B6">
        <v>1</v>
      </c>
      <c r="C6">
        <v>4</v>
      </c>
      <c r="E6">
        <v>0.15</v>
      </c>
      <c r="F6" s="8">
        <f t="shared" si="0"/>
        <v>80.5</v>
      </c>
      <c r="G6" s="8">
        <f t="shared" si="1"/>
        <v>100.5</v>
      </c>
      <c r="H6" s="8">
        <f t="shared" si="2"/>
        <v>95.5</v>
      </c>
      <c r="R6">
        <v>0.15</v>
      </c>
      <c r="S6" s="9">
        <f t="shared" si="3"/>
        <v>75</v>
      </c>
      <c r="T6" s="9">
        <f t="shared" si="4"/>
        <v>95</v>
      </c>
    </row>
    <row r="7" spans="1:20" x14ac:dyDescent="0.25">
      <c r="E7">
        <v>0.2</v>
      </c>
      <c r="F7" s="8">
        <f t="shared" si="0"/>
        <v>74</v>
      </c>
      <c r="G7" s="8">
        <f t="shared" si="1"/>
        <v>94</v>
      </c>
      <c r="H7" s="8">
        <f t="shared" si="2"/>
        <v>89</v>
      </c>
      <c r="R7">
        <v>0.2</v>
      </c>
      <c r="S7" s="9">
        <f t="shared" si="3"/>
        <v>70</v>
      </c>
      <c r="T7" s="9">
        <f t="shared" si="4"/>
        <v>90</v>
      </c>
    </row>
    <row r="8" spans="1:20" x14ac:dyDescent="0.25">
      <c r="A8" s="15" t="s">
        <v>81</v>
      </c>
      <c r="B8" s="15"/>
      <c r="C8" s="15"/>
      <c r="E8">
        <v>0.25</v>
      </c>
      <c r="F8" s="8">
        <f t="shared" si="0"/>
        <v>67.5</v>
      </c>
      <c r="G8" s="8">
        <f t="shared" si="1"/>
        <v>87.5</v>
      </c>
      <c r="H8" s="8">
        <f t="shared" si="2"/>
        <v>82.5</v>
      </c>
      <c r="R8">
        <v>0.25</v>
      </c>
      <c r="S8" s="9">
        <f t="shared" si="3"/>
        <v>65</v>
      </c>
      <c r="T8" s="9">
        <f t="shared" si="4"/>
        <v>85</v>
      </c>
    </row>
    <row r="9" spans="1:20" x14ac:dyDescent="0.25">
      <c r="A9" s="15"/>
      <c r="B9" s="15"/>
      <c r="C9" s="15"/>
      <c r="E9">
        <v>0.3</v>
      </c>
      <c r="F9" s="8">
        <f t="shared" si="0"/>
        <v>61</v>
      </c>
      <c r="G9" s="8">
        <f t="shared" si="1"/>
        <v>81</v>
      </c>
      <c r="H9" s="8">
        <f t="shared" si="2"/>
        <v>76</v>
      </c>
      <c r="R9">
        <v>0.3</v>
      </c>
      <c r="S9" s="9">
        <f t="shared" si="3"/>
        <v>60</v>
      </c>
      <c r="T9" s="9">
        <f t="shared" si="4"/>
        <v>80</v>
      </c>
    </row>
    <row r="10" spans="1:20" x14ac:dyDescent="0.25">
      <c r="A10" s="15"/>
      <c r="B10" s="15"/>
      <c r="C10" s="15"/>
      <c r="E10">
        <v>0.35</v>
      </c>
      <c r="F10" s="8">
        <f t="shared" si="0"/>
        <v>54.500000000000007</v>
      </c>
      <c r="G10" s="8">
        <f t="shared" si="1"/>
        <v>74.5</v>
      </c>
      <c r="H10" s="8">
        <f t="shared" si="2"/>
        <v>69.5</v>
      </c>
      <c r="R10">
        <v>0.35</v>
      </c>
      <c r="S10" s="9">
        <f t="shared" si="3"/>
        <v>55</v>
      </c>
      <c r="T10" s="9">
        <f t="shared" si="4"/>
        <v>75</v>
      </c>
    </row>
    <row r="11" spans="1:20" x14ac:dyDescent="0.25">
      <c r="E11">
        <v>0.4</v>
      </c>
      <c r="F11" s="8">
        <f t="shared" si="0"/>
        <v>48</v>
      </c>
      <c r="G11" s="8">
        <f t="shared" si="1"/>
        <v>68</v>
      </c>
      <c r="H11" s="8">
        <f t="shared" si="2"/>
        <v>63</v>
      </c>
      <c r="R11">
        <v>0.4</v>
      </c>
      <c r="S11" s="9">
        <f t="shared" si="3"/>
        <v>50</v>
      </c>
      <c r="T11" s="9">
        <f t="shared" si="4"/>
        <v>70</v>
      </c>
    </row>
    <row r="12" spans="1:20" x14ac:dyDescent="0.25">
      <c r="E12">
        <v>0.45</v>
      </c>
      <c r="F12" s="8">
        <f t="shared" si="0"/>
        <v>41.499999999999993</v>
      </c>
      <c r="G12" s="8">
        <f t="shared" si="1"/>
        <v>61.499999999999993</v>
      </c>
      <c r="H12" s="8">
        <f t="shared" si="2"/>
        <v>56.499999999999993</v>
      </c>
      <c r="R12">
        <v>0.45</v>
      </c>
      <c r="S12" s="9">
        <f t="shared" si="3"/>
        <v>45</v>
      </c>
      <c r="T12" s="9">
        <f t="shared" si="4"/>
        <v>65</v>
      </c>
    </row>
    <row r="13" spans="1:20" x14ac:dyDescent="0.25">
      <c r="A13" s="14" t="s">
        <v>83</v>
      </c>
      <c r="B13" s="14"/>
      <c r="C13" s="14"/>
      <c r="E13">
        <v>0.5</v>
      </c>
      <c r="F13" s="8">
        <f t="shared" si="0"/>
        <v>35</v>
      </c>
      <c r="G13" s="8">
        <f t="shared" si="1"/>
        <v>55</v>
      </c>
      <c r="H13" s="8">
        <f t="shared" si="2"/>
        <v>50</v>
      </c>
      <c r="R13">
        <v>0.5</v>
      </c>
      <c r="S13" s="9">
        <f t="shared" si="3"/>
        <v>40</v>
      </c>
      <c r="T13" s="9">
        <f t="shared" si="4"/>
        <v>60</v>
      </c>
    </row>
    <row r="14" spans="1:20" x14ac:dyDescent="0.25">
      <c r="A14" t="s">
        <v>84</v>
      </c>
      <c r="B14" t="s">
        <v>85</v>
      </c>
      <c r="C14" t="s">
        <v>86</v>
      </c>
      <c r="E14">
        <v>0.55000000000000004</v>
      </c>
      <c r="F14" s="8">
        <f t="shared" si="0"/>
        <v>28.499999999999986</v>
      </c>
      <c r="G14" s="8">
        <f t="shared" si="1"/>
        <v>48.499999999999986</v>
      </c>
      <c r="H14" s="8">
        <f t="shared" si="2"/>
        <v>43.499999999999986</v>
      </c>
      <c r="R14">
        <v>0.55000000000000004</v>
      </c>
      <c r="S14" s="9">
        <f t="shared" si="3"/>
        <v>34.999999999999993</v>
      </c>
      <c r="T14" s="9">
        <f t="shared" si="4"/>
        <v>54.999999999999993</v>
      </c>
    </row>
    <row r="15" spans="1:20" x14ac:dyDescent="0.25">
      <c r="A15" t="s">
        <v>87</v>
      </c>
      <c r="B15">
        <v>10</v>
      </c>
      <c r="C15">
        <f>'Fishing Ship'!B15-'Crew Stats'!B2</f>
        <v>2</v>
      </c>
      <c r="E15">
        <v>0.6</v>
      </c>
      <c r="F15" s="8">
        <f t="shared" si="0"/>
        <v>22</v>
      </c>
      <c r="G15" s="8">
        <f t="shared" si="1"/>
        <v>42</v>
      </c>
      <c r="H15" s="8">
        <f t="shared" si="2"/>
        <v>37</v>
      </c>
      <c r="R15">
        <v>0.6</v>
      </c>
      <c r="S15" s="9">
        <f t="shared" si="3"/>
        <v>30</v>
      </c>
      <c r="T15" s="9">
        <f t="shared" si="4"/>
        <v>50</v>
      </c>
    </row>
    <row r="16" spans="1:20" x14ac:dyDescent="0.25">
      <c r="A16" t="s">
        <v>88</v>
      </c>
      <c r="B16">
        <v>6</v>
      </c>
      <c r="C16" s="11">
        <f>'Fishing Ship'!B16-'Crew Stats'!B3</f>
        <v>-2</v>
      </c>
      <c r="E16">
        <v>0.65</v>
      </c>
      <c r="F16" s="8">
        <f t="shared" si="0"/>
        <v>15.499999999999986</v>
      </c>
      <c r="G16" s="8">
        <f t="shared" si="1"/>
        <v>35.499999999999986</v>
      </c>
      <c r="H16" s="8">
        <f t="shared" si="2"/>
        <v>30.499999999999986</v>
      </c>
      <c r="R16">
        <v>0.65</v>
      </c>
      <c r="S16" s="9">
        <f t="shared" si="3"/>
        <v>25</v>
      </c>
      <c r="T16" s="9">
        <f t="shared" si="4"/>
        <v>45</v>
      </c>
    </row>
    <row r="17" spans="1:20" x14ac:dyDescent="0.25">
      <c r="A17" t="s">
        <v>89</v>
      </c>
      <c r="B17">
        <v>12</v>
      </c>
      <c r="C17" s="11">
        <f>'Fishing Ship'!B17-'Crew Stats'!B4</f>
        <v>0</v>
      </c>
      <c r="E17">
        <v>0.7</v>
      </c>
      <c r="F17" s="8">
        <f t="shared" si="0"/>
        <v>9.0000000000000142</v>
      </c>
      <c r="G17" s="8">
        <f t="shared" si="1"/>
        <v>29.000000000000014</v>
      </c>
      <c r="H17" s="8">
        <f t="shared" si="2"/>
        <v>24.000000000000014</v>
      </c>
      <c r="R17">
        <v>0.7</v>
      </c>
      <c r="S17" s="9">
        <f t="shared" si="3"/>
        <v>20</v>
      </c>
      <c r="T17" s="9">
        <f t="shared" si="4"/>
        <v>40</v>
      </c>
    </row>
    <row r="18" spans="1:20" x14ac:dyDescent="0.25">
      <c r="E18">
        <v>0.75</v>
      </c>
      <c r="F18" s="8">
        <f t="shared" si="0"/>
        <v>2.4999999999999858</v>
      </c>
      <c r="G18" s="8">
        <f t="shared" si="1"/>
        <v>22.499999999999986</v>
      </c>
      <c r="H18" s="8">
        <f t="shared" si="2"/>
        <v>17.499999999999986</v>
      </c>
      <c r="R18">
        <v>0.75</v>
      </c>
      <c r="S18" s="9">
        <f t="shared" si="3"/>
        <v>15</v>
      </c>
      <c r="T18" s="9">
        <f t="shared" si="4"/>
        <v>35</v>
      </c>
    </row>
    <row r="19" spans="1:20" x14ac:dyDescent="0.25">
      <c r="E19">
        <v>0.8</v>
      </c>
      <c r="F19" s="8">
        <f t="shared" si="0"/>
        <v>-4</v>
      </c>
      <c r="G19" s="8">
        <f t="shared" si="1"/>
        <v>16</v>
      </c>
      <c r="H19" s="8">
        <f t="shared" si="2"/>
        <v>11</v>
      </c>
      <c r="R19">
        <v>0.8</v>
      </c>
      <c r="S19" s="9">
        <f t="shared" si="3"/>
        <v>10</v>
      </c>
      <c r="T19" s="9">
        <f t="shared" si="4"/>
        <v>30</v>
      </c>
    </row>
    <row r="20" spans="1:20" x14ac:dyDescent="0.25">
      <c r="E20">
        <v>0.85</v>
      </c>
      <c r="F20" s="8">
        <f t="shared" si="0"/>
        <v>-10.5</v>
      </c>
      <c r="G20" s="8">
        <f t="shared" si="1"/>
        <v>9.5</v>
      </c>
      <c r="H20" s="8">
        <f t="shared" si="2"/>
        <v>4.5</v>
      </c>
      <c r="R20">
        <v>0.85</v>
      </c>
      <c r="S20" s="9">
        <f t="shared" si="3"/>
        <v>5</v>
      </c>
      <c r="T20" s="9">
        <f t="shared" si="4"/>
        <v>25</v>
      </c>
    </row>
    <row r="21" spans="1:20" x14ac:dyDescent="0.25">
      <c r="E21">
        <v>0.9</v>
      </c>
      <c r="F21" s="8">
        <f t="shared" si="0"/>
        <v>-17.000000000000014</v>
      </c>
      <c r="G21" s="8">
        <f t="shared" si="1"/>
        <v>2.9999999999999858</v>
      </c>
      <c r="H21" s="8">
        <f t="shared" si="2"/>
        <v>-2.0000000000000142</v>
      </c>
      <c r="R21">
        <v>0.9</v>
      </c>
      <c r="S21" s="9">
        <f t="shared" si="3"/>
        <v>0</v>
      </c>
      <c r="T21" s="9">
        <f t="shared" si="4"/>
        <v>20</v>
      </c>
    </row>
    <row r="22" spans="1:20" x14ac:dyDescent="0.25">
      <c r="E22">
        <v>0.95</v>
      </c>
      <c r="F22" s="8">
        <f t="shared" si="0"/>
        <v>-23.499999999999986</v>
      </c>
      <c r="G22" s="8">
        <f t="shared" si="1"/>
        <v>-3.4999999999999858</v>
      </c>
      <c r="H22" s="8">
        <f t="shared" si="2"/>
        <v>-8.4999999999999858</v>
      </c>
      <c r="R22">
        <v>0.95</v>
      </c>
      <c r="S22" s="9">
        <f t="shared" si="3"/>
        <v>-5</v>
      </c>
      <c r="T22" s="9">
        <f t="shared" si="4"/>
        <v>15</v>
      </c>
    </row>
    <row r="23" spans="1:20" x14ac:dyDescent="0.25">
      <c r="E23">
        <v>1</v>
      </c>
      <c r="F23" s="8">
        <f t="shared" si="0"/>
        <v>-30</v>
      </c>
      <c r="G23" s="8">
        <f t="shared" si="1"/>
        <v>-10</v>
      </c>
      <c r="H23" s="8">
        <f t="shared" si="2"/>
        <v>-15</v>
      </c>
      <c r="R23">
        <v>1</v>
      </c>
      <c r="S23" s="9">
        <f t="shared" si="3"/>
        <v>-10</v>
      </c>
      <c r="T23" s="9">
        <f t="shared" si="4"/>
        <v>10</v>
      </c>
    </row>
  </sheetData>
  <mergeCells count="5">
    <mergeCell ref="A1:B1"/>
    <mergeCell ref="E1:F1"/>
    <mergeCell ref="R1:S1"/>
    <mergeCell ref="A8:C10"/>
    <mergeCell ref="A13:C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AF7E-48A3-4CF3-BDE9-FDEC47368DDB}">
  <dimension ref="A1:T23"/>
  <sheetViews>
    <sheetView workbookViewId="0">
      <selection activeCell="C7" sqref="C7"/>
    </sheetView>
  </sheetViews>
  <sheetFormatPr defaultRowHeight="15" x14ac:dyDescent="0.25"/>
  <cols>
    <col min="1" max="1" width="11.5703125" style="11" bestFit="1" customWidth="1"/>
    <col min="2" max="5" width="9.140625" style="11"/>
    <col min="6" max="6" width="8.5703125" style="11" customWidth="1"/>
    <col min="7" max="7" width="8.85546875" style="11" customWidth="1"/>
    <col min="8" max="8" width="11.5703125" style="11" bestFit="1" customWidth="1"/>
    <col min="9" max="19" width="9.140625" style="11"/>
    <col min="20" max="20" width="11" style="11" bestFit="1" customWidth="1"/>
    <col min="21" max="16384" width="9.140625" style="11"/>
  </cols>
  <sheetData>
    <row r="1" spans="1:20" x14ac:dyDescent="0.25">
      <c r="A1" s="14" t="s">
        <v>60</v>
      </c>
      <c r="B1" s="14"/>
      <c r="E1" s="14" t="s">
        <v>66</v>
      </c>
      <c r="F1" s="14"/>
      <c r="R1" s="14" t="s">
        <v>71</v>
      </c>
      <c r="S1" s="14"/>
    </row>
    <row r="2" spans="1:20" x14ac:dyDescent="0.25">
      <c r="B2" s="11" t="s">
        <v>62</v>
      </c>
      <c r="C2" s="11" t="s">
        <v>63</v>
      </c>
      <c r="E2" s="11" t="s">
        <v>67</v>
      </c>
      <c r="F2" s="11" t="s">
        <v>68</v>
      </c>
      <c r="G2" s="11" t="s">
        <v>69</v>
      </c>
      <c r="H2" s="11" t="s">
        <v>70</v>
      </c>
      <c r="R2" s="11" t="s">
        <v>72</v>
      </c>
      <c r="S2" s="11" t="s">
        <v>73</v>
      </c>
      <c r="T2" s="11" t="s">
        <v>74</v>
      </c>
    </row>
    <row r="3" spans="1:20" x14ac:dyDescent="0.25">
      <c r="A3" s="11" t="s">
        <v>61</v>
      </c>
      <c r="B3" s="11">
        <v>10</v>
      </c>
      <c r="C3" s="11">
        <v>20</v>
      </c>
      <c r="E3" s="11">
        <v>0</v>
      </c>
      <c r="F3" s="11">
        <f>-E3*100+100</f>
        <v>100</v>
      </c>
      <c r="G3" s="11">
        <f>-E3*100+120</f>
        <v>120</v>
      </c>
      <c r="H3" s="11">
        <f>G3-5</f>
        <v>115</v>
      </c>
      <c r="R3" s="11">
        <v>0</v>
      </c>
      <c r="S3" s="11">
        <f>-R3*100+80</f>
        <v>80</v>
      </c>
      <c r="T3" s="11">
        <f>-R3*100+100</f>
        <v>100</v>
      </c>
    </row>
    <row r="4" spans="1:20" x14ac:dyDescent="0.25">
      <c r="A4" s="11" t="s">
        <v>64</v>
      </c>
      <c r="B4" s="11">
        <v>5</v>
      </c>
      <c r="C4" s="11">
        <v>15</v>
      </c>
      <c r="E4" s="11">
        <v>0.05</v>
      </c>
      <c r="F4" s="11">
        <f t="shared" ref="F4:F23" si="0">-E4*100+100</f>
        <v>95</v>
      </c>
      <c r="G4" s="11">
        <f t="shared" ref="G4:G23" si="1">-E4*100+120</f>
        <v>115</v>
      </c>
      <c r="H4" s="11">
        <f t="shared" ref="H4:H23" si="2">G4-5</f>
        <v>110</v>
      </c>
      <c r="R4" s="11">
        <v>0.05</v>
      </c>
      <c r="S4" s="11">
        <f t="shared" ref="S4:S23" si="3">-R4*100+80</f>
        <v>75</v>
      </c>
      <c r="T4" s="11">
        <f t="shared" ref="T4:T23" si="4">-R4*100+100</f>
        <v>95</v>
      </c>
    </row>
    <row r="5" spans="1:20" x14ac:dyDescent="0.25">
      <c r="A5" s="11" t="s">
        <v>65</v>
      </c>
      <c r="B5" s="11">
        <v>15</v>
      </c>
      <c r="C5" s="11">
        <v>25</v>
      </c>
      <c r="E5" s="11">
        <v>0.1</v>
      </c>
      <c r="F5" s="11">
        <f t="shared" si="0"/>
        <v>90</v>
      </c>
      <c r="G5" s="11">
        <f t="shared" si="1"/>
        <v>110</v>
      </c>
      <c r="H5" s="11">
        <f t="shared" si="2"/>
        <v>105</v>
      </c>
      <c r="R5" s="11">
        <v>0.1</v>
      </c>
      <c r="S5" s="11">
        <f t="shared" si="3"/>
        <v>70</v>
      </c>
      <c r="T5" s="11">
        <f t="shared" si="4"/>
        <v>90</v>
      </c>
    </row>
    <row r="6" spans="1:20" x14ac:dyDescent="0.25">
      <c r="A6" s="11" t="s">
        <v>94</v>
      </c>
      <c r="B6" s="11">
        <v>3</v>
      </c>
      <c r="C6" s="11">
        <v>4</v>
      </c>
      <c r="E6" s="11">
        <v>0.15</v>
      </c>
      <c r="F6" s="11">
        <f t="shared" si="0"/>
        <v>85</v>
      </c>
      <c r="G6" s="11">
        <f t="shared" si="1"/>
        <v>105</v>
      </c>
      <c r="H6" s="11">
        <f t="shared" si="2"/>
        <v>100</v>
      </c>
      <c r="R6" s="11">
        <v>0.15</v>
      </c>
      <c r="S6" s="11">
        <f t="shared" si="3"/>
        <v>65</v>
      </c>
      <c r="T6" s="11">
        <f t="shared" si="4"/>
        <v>85</v>
      </c>
    </row>
    <row r="7" spans="1:20" x14ac:dyDescent="0.25">
      <c r="E7" s="11">
        <v>0.2</v>
      </c>
      <c r="F7" s="11">
        <f t="shared" si="0"/>
        <v>80</v>
      </c>
      <c r="G7" s="11">
        <f t="shared" si="1"/>
        <v>100</v>
      </c>
      <c r="H7" s="11">
        <f t="shared" si="2"/>
        <v>95</v>
      </c>
      <c r="R7" s="11">
        <v>0.2</v>
      </c>
      <c r="S7" s="11">
        <f t="shared" si="3"/>
        <v>60</v>
      </c>
      <c r="T7" s="11">
        <f t="shared" si="4"/>
        <v>80</v>
      </c>
    </row>
    <row r="8" spans="1:20" x14ac:dyDescent="0.25">
      <c r="A8" s="15" t="s">
        <v>82</v>
      </c>
      <c r="B8" s="15"/>
      <c r="C8" s="15"/>
      <c r="E8" s="11">
        <v>0.25</v>
      </c>
      <c r="F8" s="11">
        <f t="shared" si="0"/>
        <v>75</v>
      </c>
      <c r="G8" s="11">
        <f t="shared" si="1"/>
        <v>95</v>
      </c>
      <c r="H8" s="11">
        <f t="shared" si="2"/>
        <v>90</v>
      </c>
      <c r="R8" s="11">
        <v>0.25</v>
      </c>
      <c r="S8" s="11">
        <f t="shared" si="3"/>
        <v>55</v>
      </c>
      <c r="T8" s="11">
        <f t="shared" si="4"/>
        <v>75</v>
      </c>
    </row>
    <row r="9" spans="1:20" x14ac:dyDescent="0.25">
      <c r="A9" s="15"/>
      <c r="B9" s="15"/>
      <c r="C9" s="15"/>
      <c r="E9" s="11">
        <v>0.3</v>
      </c>
      <c r="F9" s="11">
        <f t="shared" si="0"/>
        <v>70</v>
      </c>
      <c r="G9" s="11">
        <f t="shared" si="1"/>
        <v>90</v>
      </c>
      <c r="H9" s="11">
        <f t="shared" si="2"/>
        <v>85</v>
      </c>
      <c r="R9" s="11">
        <v>0.3</v>
      </c>
      <c r="S9" s="11">
        <f t="shared" si="3"/>
        <v>50</v>
      </c>
      <c r="T9" s="11">
        <f t="shared" si="4"/>
        <v>70</v>
      </c>
    </row>
    <row r="10" spans="1:20" x14ac:dyDescent="0.25">
      <c r="A10" s="15"/>
      <c r="B10" s="15"/>
      <c r="C10" s="15"/>
      <c r="E10" s="11">
        <v>0.35</v>
      </c>
      <c r="F10" s="11">
        <f t="shared" si="0"/>
        <v>65</v>
      </c>
      <c r="G10" s="11">
        <f t="shared" si="1"/>
        <v>85</v>
      </c>
      <c r="H10" s="11">
        <f t="shared" si="2"/>
        <v>80</v>
      </c>
      <c r="R10" s="11">
        <v>0.35</v>
      </c>
      <c r="S10" s="11">
        <f t="shared" si="3"/>
        <v>45</v>
      </c>
      <c r="T10" s="11">
        <f t="shared" si="4"/>
        <v>65</v>
      </c>
    </row>
    <row r="11" spans="1:20" x14ac:dyDescent="0.25">
      <c r="E11" s="11">
        <v>0.4</v>
      </c>
      <c r="F11" s="11">
        <f t="shared" si="0"/>
        <v>60</v>
      </c>
      <c r="G11" s="11">
        <f t="shared" si="1"/>
        <v>80</v>
      </c>
      <c r="H11" s="11">
        <f t="shared" si="2"/>
        <v>75</v>
      </c>
      <c r="R11" s="11">
        <v>0.4</v>
      </c>
      <c r="S11" s="11">
        <f t="shared" si="3"/>
        <v>40</v>
      </c>
      <c r="T11" s="11">
        <f t="shared" si="4"/>
        <v>60</v>
      </c>
    </row>
    <row r="12" spans="1:20" x14ac:dyDescent="0.25">
      <c r="E12" s="11">
        <v>0.45</v>
      </c>
      <c r="F12" s="11">
        <f t="shared" si="0"/>
        <v>55</v>
      </c>
      <c r="G12" s="11">
        <f t="shared" si="1"/>
        <v>75</v>
      </c>
      <c r="H12" s="11">
        <f t="shared" si="2"/>
        <v>70</v>
      </c>
      <c r="R12" s="11">
        <v>0.45</v>
      </c>
      <c r="S12" s="11">
        <f t="shared" si="3"/>
        <v>35</v>
      </c>
      <c r="T12" s="11">
        <f t="shared" si="4"/>
        <v>55</v>
      </c>
    </row>
    <row r="13" spans="1:20" x14ac:dyDescent="0.25">
      <c r="A13" s="14" t="s">
        <v>83</v>
      </c>
      <c r="B13" s="14"/>
      <c r="C13" s="14"/>
      <c r="E13" s="11">
        <v>0.5</v>
      </c>
      <c r="F13" s="11">
        <f t="shared" si="0"/>
        <v>50</v>
      </c>
      <c r="G13" s="11">
        <f t="shared" si="1"/>
        <v>70</v>
      </c>
      <c r="H13" s="11">
        <f t="shared" si="2"/>
        <v>65</v>
      </c>
      <c r="R13" s="11">
        <v>0.5</v>
      </c>
      <c r="S13" s="11">
        <f t="shared" si="3"/>
        <v>30</v>
      </c>
      <c r="T13" s="11">
        <f t="shared" si="4"/>
        <v>50</v>
      </c>
    </row>
    <row r="14" spans="1:20" x14ac:dyDescent="0.25">
      <c r="A14" s="11" t="s">
        <v>84</v>
      </c>
      <c r="B14" s="11" t="s">
        <v>85</v>
      </c>
      <c r="C14" s="11" t="s">
        <v>86</v>
      </c>
      <c r="E14" s="11">
        <v>0.55000000000000004</v>
      </c>
      <c r="F14" s="11">
        <f t="shared" si="0"/>
        <v>44.999999999999993</v>
      </c>
      <c r="G14" s="11">
        <f t="shared" si="1"/>
        <v>65</v>
      </c>
      <c r="H14" s="11">
        <f t="shared" si="2"/>
        <v>60</v>
      </c>
      <c r="R14" s="11">
        <v>0.55000000000000004</v>
      </c>
      <c r="S14" s="11">
        <f t="shared" si="3"/>
        <v>24.999999999999993</v>
      </c>
      <c r="T14" s="11">
        <f t="shared" si="4"/>
        <v>44.999999999999993</v>
      </c>
    </row>
    <row r="15" spans="1:20" x14ac:dyDescent="0.25">
      <c r="A15" s="11" t="s">
        <v>87</v>
      </c>
      <c r="B15" s="11">
        <v>6</v>
      </c>
      <c r="C15" s="11">
        <f>'Merchant Ship'!B15-'Crew Stats'!B2</f>
        <v>-2</v>
      </c>
      <c r="E15" s="11">
        <v>0.6</v>
      </c>
      <c r="F15" s="11">
        <f t="shared" si="0"/>
        <v>40</v>
      </c>
      <c r="G15" s="11">
        <f t="shared" si="1"/>
        <v>60</v>
      </c>
      <c r="H15" s="11">
        <f t="shared" si="2"/>
        <v>55</v>
      </c>
      <c r="R15" s="11">
        <v>0.6</v>
      </c>
      <c r="S15" s="11">
        <f t="shared" si="3"/>
        <v>20</v>
      </c>
      <c r="T15" s="11">
        <f t="shared" si="4"/>
        <v>40</v>
      </c>
    </row>
    <row r="16" spans="1:20" x14ac:dyDescent="0.25">
      <c r="A16" s="11" t="s">
        <v>88</v>
      </c>
      <c r="B16" s="11">
        <v>10</v>
      </c>
      <c r="C16" s="11">
        <f>'Merchant Ship'!B16-'Crew Stats'!B3</f>
        <v>2</v>
      </c>
      <c r="E16" s="11">
        <v>0.65</v>
      </c>
      <c r="F16" s="11">
        <f t="shared" si="0"/>
        <v>35</v>
      </c>
      <c r="G16" s="11">
        <f t="shared" si="1"/>
        <v>55</v>
      </c>
      <c r="H16" s="11">
        <f t="shared" si="2"/>
        <v>50</v>
      </c>
      <c r="R16" s="11">
        <v>0.65</v>
      </c>
      <c r="S16" s="11">
        <f t="shared" si="3"/>
        <v>15</v>
      </c>
      <c r="T16" s="11">
        <f t="shared" si="4"/>
        <v>35</v>
      </c>
    </row>
    <row r="17" spans="1:20" x14ac:dyDescent="0.25">
      <c r="A17" s="11" t="s">
        <v>89</v>
      </c>
      <c r="B17" s="11">
        <v>12</v>
      </c>
      <c r="C17" s="11">
        <f>'Merchant Ship'!B17-'Crew Stats'!B4</f>
        <v>0</v>
      </c>
      <c r="E17" s="11">
        <v>0.7</v>
      </c>
      <c r="F17" s="11">
        <f t="shared" si="0"/>
        <v>30</v>
      </c>
      <c r="G17" s="11">
        <f t="shared" si="1"/>
        <v>50</v>
      </c>
      <c r="H17" s="11">
        <f t="shared" si="2"/>
        <v>45</v>
      </c>
      <c r="R17" s="11">
        <v>0.7</v>
      </c>
      <c r="S17" s="11">
        <f t="shared" si="3"/>
        <v>10</v>
      </c>
      <c r="T17" s="11">
        <f t="shared" si="4"/>
        <v>30</v>
      </c>
    </row>
    <row r="18" spans="1:20" x14ac:dyDescent="0.25">
      <c r="E18" s="11">
        <v>0.75</v>
      </c>
      <c r="F18" s="11">
        <f t="shared" si="0"/>
        <v>25</v>
      </c>
      <c r="G18" s="11">
        <f t="shared" si="1"/>
        <v>45</v>
      </c>
      <c r="H18" s="11">
        <f t="shared" si="2"/>
        <v>40</v>
      </c>
      <c r="R18" s="11">
        <v>0.75</v>
      </c>
      <c r="S18" s="11">
        <f t="shared" si="3"/>
        <v>5</v>
      </c>
      <c r="T18" s="11">
        <f t="shared" si="4"/>
        <v>25</v>
      </c>
    </row>
    <row r="19" spans="1:20" x14ac:dyDescent="0.25">
      <c r="E19" s="11">
        <v>0.8</v>
      </c>
      <c r="F19" s="11">
        <f t="shared" si="0"/>
        <v>20</v>
      </c>
      <c r="G19" s="11">
        <f t="shared" si="1"/>
        <v>40</v>
      </c>
      <c r="H19" s="11">
        <f t="shared" si="2"/>
        <v>35</v>
      </c>
      <c r="R19" s="11">
        <v>0.8</v>
      </c>
      <c r="S19" s="11">
        <f t="shared" si="3"/>
        <v>0</v>
      </c>
      <c r="T19" s="11">
        <f t="shared" si="4"/>
        <v>20</v>
      </c>
    </row>
    <row r="20" spans="1:20" x14ac:dyDescent="0.25">
      <c r="E20" s="11">
        <v>0.85</v>
      </c>
      <c r="F20" s="11">
        <f t="shared" si="0"/>
        <v>15</v>
      </c>
      <c r="G20" s="11">
        <f t="shared" si="1"/>
        <v>35</v>
      </c>
      <c r="H20" s="11">
        <f t="shared" si="2"/>
        <v>30</v>
      </c>
      <c r="R20" s="11">
        <v>0.85</v>
      </c>
      <c r="S20" s="11">
        <f t="shared" si="3"/>
        <v>-5</v>
      </c>
      <c r="T20" s="11">
        <f t="shared" si="4"/>
        <v>15</v>
      </c>
    </row>
    <row r="21" spans="1:20" x14ac:dyDescent="0.25">
      <c r="E21" s="11">
        <v>0.9</v>
      </c>
      <c r="F21" s="11">
        <f t="shared" si="0"/>
        <v>10</v>
      </c>
      <c r="G21" s="11">
        <f t="shared" si="1"/>
        <v>30</v>
      </c>
      <c r="H21" s="11">
        <f t="shared" si="2"/>
        <v>25</v>
      </c>
      <c r="R21" s="11">
        <v>0.9</v>
      </c>
      <c r="S21" s="11">
        <f t="shared" si="3"/>
        <v>-10</v>
      </c>
      <c r="T21" s="11">
        <f t="shared" si="4"/>
        <v>10</v>
      </c>
    </row>
    <row r="22" spans="1:20" x14ac:dyDescent="0.25">
      <c r="E22" s="11">
        <v>0.95</v>
      </c>
      <c r="F22" s="11">
        <f t="shared" si="0"/>
        <v>5</v>
      </c>
      <c r="G22" s="11">
        <f t="shared" si="1"/>
        <v>25</v>
      </c>
      <c r="H22" s="11">
        <f t="shared" si="2"/>
        <v>20</v>
      </c>
      <c r="R22" s="11">
        <v>0.95</v>
      </c>
      <c r="S22" s="11">
        <f t="shared" si="3"/>
        <v>-15</v>
      </c>
      <c r="T22" s="11">
        <f t="shared" si="4"/>
        <v>5</v>
      </c>
    </row>
    <row r="23" spans="1:20" x14ac:dyDescent="0.25">
      <c r="E23" s="11">
        <v>1</v>
      </c>
      <c r="F23" s="11">
        <f t="shared" si="0"/>
        <v>0</v>
      </c>
      <c r="G23" s="11">
        <f t="shared" si="1"/>
        <v>20</v>
      </c>
      <c r="H23" s="11">
        <f t="shared" si="2"/>
        <v>15</v>
      </c>
      <c r="R23" s="11">
        <v>1</v>
      </c>
      <c r="S23" s="11">
        <f t="shared" si="3"/>
        <v>-20</v>
      </c>
      <c r="T23" s="11">
        <f t="shared" si="4"/>
        <v>0</v>
      </c>
    </row>
  </sheetData>
  <mergeCells count="5">
    <mergeCell ref="A1:B1"/>
    <mergeCell ref="E1:F1"/>
    <mergeCell ref="R1:S1"/>
    <mergeCell ref="A8:C10"/>
    <mergeCell ref="A13:C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56E8-4FDF-4D5C-9496-4E5042122659}">
  <dimension ref="A1:BD48"/>
  <sheetViews>
    <sheetView tabSelected="1" topLeftCell="AG1" zoomScaleNormal="100" workbookViewId="0">
      <selection activeCell="AP32" sqref="AP32"/>
    </sheetView>
  </sheetViews>
  <sheetFormatPr defaultRowHeight="15" x14ac:dyDescent="0.25"/>
  <cols>
    <col min="1" max="1" width="11.5703125" style="12" bestFit="1" customWidth="1"/>
    <col min="2" max="4" width="9.140625" style="12"/>
    <col min="5" max="5" width="13.5703125" style="12" bestFit="1" customWidth="1"/>
    <col min="6" max="6" width="8.5703125" style="12" customWidth="1"/>
    <col min="7" max="7" width="8.85546875" style="12" customWidth="1"/>
    <col min="8" max="15" width="9.140625" style="12"/>
    <col min="16" max="16" width="13.5703125" style="12" bestFit="1" customWidth="1"/>
    <col min="17" max="19" width="9.140625" style="12"/>
    <col min="20" max="20" width="11" style="12" bestFit="1" customWidth="1"/>
    <col min="21" max="26" width="9.140625" style="12"/>
    <col min="27" max="27" width="13.5703125" style="12" bestFit="1" customWidth="1"/>
    <col min="28" max="40" width="9.140625" style="12"/>
    <col min="41" max="41" width="11" style="12" bestFit="1" customWidth="1"/>
    <col min="42" max="16384" width="9.140625" style="12"/>
  </cols>
  <sheetData>
    <row r="1" spans="1:41" x14ac:dyDescent="0.25">
      <c r="A1" s="14" t="s">
        <v>60</v>
      </c>
      <c r="B1" s="14"/>
      <c r="E1" s="14" t="s">
        <v>97</v>
      </c>
      <c r="F1" s="14"/>
      <c r="G1" s="12">
        <v>0</v>
      </c>
      <c r="P1" s="14" t="s">
        <v>97</v>
      </c>
      <c r="Q1" s="14"/>
      <c r="R1" s="12">
        <v>0.25</v>
      </c>
      <c r="AA1" s="14" t="s">
        <v>97</v>
      </c>
      <c r="AB1" s="14"/>
      <c r="AC1" s="12">
        <v>0.5</v>
      </c>
      <c r="AM1" s="14" t="s">
        <v>71</v>
      </c>
      <c r="AN1" s="14"/>
    </row>
    <row r="2" spans="1:41" x14ac:dyDescent="0.25">
      <c r="B2" s="12" t="s">
        <v>62</v>
      </c>
      <c r="C2" s="12" t="s">
        <v>63</v>
      </c>
      <c r="E2" s="12" t="s">
        <v>96</v>
      </c>
      <c r="F2" s="12" t="s">
        <v>73</v>
      </c>
      <c r="G2" s="12" t="s">
        <v>69</v>
      </c>
      <c r="P2" s="12" t="s">
        <v>96</v>
      </c>
      <c r="Q2" s="12" t="s">
        <v>73</v>
      </c>
      <c r="R2" s="12" t="s">
        <v>69</v>
      </c>
      <c r="AA2" s="12" t="s">
        <v>96</v>
      </c>
      <c r="AB2" s="12" t="s">
        <v>73</v>
      </c>
      <c r="AC2" s="12" t="s">
        <v>69</v>
      </c>
      <c r="AM2" s="12" t="s">
        <v>72</v>
      </c>
      <c r="AN2" s="12" t="s">
        <v>73</v>
      </c>
      <c r="AO2" s="12" t="s">
        <v>74</v>
      </c>
    </row>
    <row r="3" spans="1:41" x14ac:dyDescent="0.25">
      <c r="A3" s="12" t="s">
        <v>61</v>
      </c>
      <c r="B3" s="12">
        <v>10</v>
      </c>
      <c r="C3" s="12">
        <v>20</v>
      </c>
      <c r="E3" s="12">
        <v>-1</v>
      </c>
      <c r="F3" s="12">
        <f>125/(1+EXP(3*AA3-(0.5-$G$1)))-15</f>
        <v>106.33597115608045</v>
      </c>
      <c r="G3" s="12">
        <f>125/(1+EXP(3*AA3-(0.5-$G$1)))-7</f>
        <v>114.33597115608045</v>
      </c>
      <c r="P3" s="12">
        <v>-1</v>
      </c>
      <c r="Q3" s="12">
        <f>125/(1+EXP(3*AA3-(0.5-$R$1)))-15</f>
        <v>105.33413908198382</v>
      </c>
      <c r="R3" s="12">
        <f>125/(1+EXP(3*AA3-(0.5-$R$1)))-7</f>
        <v>113.33413908198382</v>
      </c>
      <c r="AA3" s="12">
        <v>-1</v>
      </c>
      <c r="AB3" s="12">
        <f>125/(1+EXP(3*AA3-(0.5-$AC$1)))-15</f>
        <v>104.07176585280416</v>
      </c>
      <c r="AC3" s="12">
        <f>125/(1+EXP(3*AA3-(0.5-$AC$1)))-7</f>
        <v>112.07176585280416</v>
      </c>
      <c r="AM3" s="12">
        <v>0</v>
      </c>
      <c r="AN3" s="12">
        <f>-AM3*130+130</f>
        <v>130</v>
      </c>
      <c r="AO3" s="12">
        <f>-AM3*130+140</f>
        <v>140</v>
      </c>
    </row>
    <row r="4" spans="1:41" x14ac:dyDescent="0.25">
      <c r="A4" s="12" t="s">
        <v>64</v>
      </c>
      <c r="B4" s="12">
        <v>5</v>
      </c>
      <c r="C4" s="12">
        <v>15</v>
      </c>
      <c r="E4" s="12">
        <v>-0.9</v>
      </c>
      <c r="F4" s="12">
        <f t="shared" ref="F4:F23" si="0">125/(1+EXP(3*AA4-(0.5-$G$1)))-15</f>
        <v>105.10428465040447</v>
      </c>
      <c r="G4" s="12">
        <f t="shared" ref="G4:G23" si="1">125/(1+EXP(3*AA4-(0.5-$G$1)))-7</f>
        <v>113.10428465040447</v>
      </c>
      <c r="P4" s="12">
        <v>-0.9</v>
      </c>
      <c r="Q4" s="12">
        <f t="shared" ref="Q4:Q23" si="2">125/(1+EXP(3*AA4-(0.5-$R$1)))-15</f>
        <v>103.78293605518041</v>
      </c>
      <c r="R4" s="12">
        <f t="shared" ref="R4:R23" si="3">125/(1+EXP(3*AA4-(0.5-$R$1)))-7</f>
        <v>111.78293605518041</v>
      </c>
      <c r="AA4" s="12">
        <v>-0.9</v>
      </c>
      <c r="AB4" s="12">
        <f t="shared" ref="AB4:AB23" si="4">125/(1+EXP(3*AA4-(0.5-$AC$1)))-15</f>
        <v>102.12833049287545</v>
      </c>
      <c r="AC4" s="12">
        <f t="shared" ref="AC4:AC23" si="5">125/(1+EXP(3*AA4-(0.5-$AC$1)))-7</f>
        <v>110.12833049287545</v>
      </c>
      <c r="AM4" s="12">
        <v>0.05</v>
      </c>
      <c r="AN4" s="12">
        <f t="shared" ref="AN4:AN23" si="6">-AM4*130+130</f>
        <v>123.5</v>
      </c>
      <c r="AO4" s="12">
        <f t="shared" ref="AO4:AO23" si="7">-AM4*130+140</f>
        <v>133.5</v>
      </c>
    </row>
    <row r="5" spans="1:41" x14ac:dyDescent="0.25">
      <c r="A5" s="12" t="s">
        <v>65</v>
      </c>
      <c r="B5" s="12">
        <v>15</v>
      </c>
      <c r="C5" s="12">
        <v>25</v>
      </c>
      <c r="E5" s="12">
        <v>-0.8</v>
      </c>
      <c r="F5" s="12">
        <f t="shared" si="0"/>
        <v>103.4808046151978</v>
      </c>
      <c r="G5" s="12">
        <f t="shared" si="1"/>
        <v>111.4808046151978</v>
      </c>
      <c r="P5" s="12">
        <v>-0.8</v>
      </c>
      <c r="Q5" s="12">
        <f t="shared" si="2"/>
        <v>101.75137381359765</v>
      </c>
      <c r="R5" s="12">
        <f t="shared" si="3"/>
        <v>109.75137381359765</v>
      </c>
      <c r="AA5" s="12">
        <v>-0.8</v>
      </c>
      <c r="AB5" s="12">
        <f t="shared" si="4"/>
        <v>99.603412938259709</v>
      </c>
      <c r="AC5" s="12">
        <f t="shared" si="5"/>
        <v>107.60341293825971</v>
      </c>
      <c r="AM5" s="12">
        <v>0.1</v>
      </c>
      <c r="AN5" s="12">
        <f t="shared" si="6"/>
        <v>117</v>
      </c>
      <c r="AO5" s="12">
        <f t="shared" si="7"/>
        <v>127</v>
      </c>
    </row>
    <row r="6" spans="1:41" x14ac:dyDescent="0.25">
      <c r="A6" s="12" t="s">
        <v>94</v>
      </c>
      <c r="B6" s="12">
        <v>4</v>
      </c>
      <c r="C6" s="12">
        <v>7</v>
      </c>
      <c r="E6" s="12">
        <v>-0.7</v>
      </c>
      <c r="F6" s="12">
        <f t="shared" si="0"/>
        <v>101.35769745708163</v>
      </c>
      <c r="G6" s="12">
        <f t="shared" si="1"/>
        <v>109.35769745708163</v>
      </c>
      <c r="P6" s="12">
        <v>-0.7</v>
      </c>
      <c r="Q6" s="12">
        <f t="shared" si="2"/>
        <v>99.116778444966087</v>
      </c>
      <c r="R6" s="12">
        <f t="shared" si="3"/>
        <v>107.11677844496609</v>
      </c>
      <c r="AA6" s="12">
        <v>-0.7</v>
      </c>
      <c r="AB6" s="12">
        <f t="shared" si="4"/>
        <v>96.362897350548394</v>
      </c>
      <c r="AC6" s="12">
        <f t="shared" si="5"/>
        <v>104.36289735054839</v>
      </c>
      <c r="AM6" s="12">
        <v>0.15</v>
      </c>
      <c r="AN6" s="12">
        <f t="shared" si="6"/>
        <v>110.5</v>
      </c>
      <c r="AO6" s="12">
        <f t="shared" si="7"/>
        <v>120.5</v>
      </c>
    </row>
    <row r="7" spans="1:41" x14ac:dyDescent="0.25">
      <c r="E7" s="12">
        <v>-0.6</v>
      </c>
      <c r="F7" s="12">
        <f t="shared" si="0"/>
        <v>98.609629873142978</v>
      </c>
      <c r="G7" s="12">
        <f t="shared" si="1"/>
        <v>106.60962987314298</v>
      </c>
      <c r="P7" s="12">
        <v>-0.6</v>
      </c>
      <c r="Q7" s="12">
        <f t="shared" si="2"/>
        <v>95.743452340026138</v>
      </c>
      <c r="R7" s="12">
        <f t="shared" si="3"/>
        <v>103.74345234002614</v>
      </c>
      <c r="AA7" s="12">
        <v>-0.6</v>
      </c>
      <c r="AB7" s="12">
        <f t="shared" si="4"/>
        <v>92.268616887439038</v>
      </c>
      <c r="AC7" s="12">
        <f t="shared" si="5"/>
        <v>100.26861688743904</v>
      </c>
      <c r="AM7" s="12">
        <v>0.2</v>
      </c>
      <c r="AN7" s="12">
        <f t="shared" si="6"/>
        <v>104</v>
      </c>
      <c r="AO7" s="12">
        <f t="shared" si="7"/>
        <v>114</v>
      </c>
    </row>
    <row r="8" spans="1:41" x14ac:dyDescent="0.25">
      <c r="A8" s="15" t="s">
        <v>95</v>
      </c>
      <c r="B8" s="15"/>
      <c r="C8" s="15"/>
      <c r="E8" s="12">
        <v>-0.5</v>
      </c>
      <c r="F8" s="12">
        <f t="shared" si="0"/>
        <v>95.099634747235299</v>
      </c>
      <c r="G8" s="12">
        <f t="shared" si="1"/>
        <v>103.0996347472353</v>
      </c>
      <c r="P8" s="12">
        <v>-0.5</v>
      </c>
      <c r="Q8" s="12">
        <f t="shared" si="2"/>
        <v>91.494100246038826</v>
      </c>
      <c r="R8" s="12">
        <f t="shared" si="3"/>
        <v>99.494100246038826</v>
      </c>
      <c r="AA8" s="12">
        <v>-0.5</v>
      </c>
      <c r="AB8" s="12">
        <f t="shared" si="4"/>
        <v>87.196809524205449</v>
      </c>
      <c r="AC8" s="12">
        <f t="shared" si="5"/>
        <v>95.196809524205449</v>
      </c>
      <c r="AM8" s="12">
        <v>0.25</v>
      </c>
      <c r="AN8" s="12">
        <f t="shared" si="6"/>
        <v>97.5</v>
      </c>
      <c r="AO8" s="12">
        <f t="shared" si="7"/>
        <v>107.5</v>
      </c>
    </row>
    <row r="9" spans="1:41" x14ac:dyDescent="0.25">
      <c r="A9" s="15"/>
      <c r="B9" s="15"/>
      <c r="C9" s="15"/>
      <c r="E9" s="12">
        <v>-0.4</v>
      </c>
      <c r="F9" s="12">
        <f t="shared" si="0"/>
        <v>90.691841864558157</v>
      </c>
      <c r="G9" s="12">
        <f t="shared" si="1"/>
        <v>98.691841864558157</v>
      </c>
      <c r="P9" s="12">
        <v>-0.4</v>
      </c>
      <c r="Q9" s="12">
        <f t="shared" si="2"/>
        <v>86.24980424808588</v>
      </c>
      <c r="R9" s="12">
        <f t="shared" si="3"/>
        <v>94.24980424808588</v>
      </c>
      <c r="AA9" s="12">
        <v>-0.4</v>
      </c>
      <c r="AB9" s="12">
        <f t="shared" si="4"/>
        <v>81.06559793737722</v>
      </c>
      <c r="AC9" s="12">
        <f t="shared" si="5"/>
        <v>89.06559793737722</v>
      </c>
      <c r="AM9" s="12">
        <v>0.3</v>
      </c>
      <c r="AN9" s="12">
        <f t="shared" si="6"/>
        <v>91</v>
      </c>
      <c r="AO9" s="12">
        <f t="shared" si="7"/>
        <v>101</v>
      </c>
    </row>
    <row r="10" spans="1:41" x14ac:dyDescent="0.25">
      <c r="A10" s="15"/>
      <c r="B10" s="15"/>
      <c r="C10" s="15"/>
      <c r="E10" s="12">
        <v>-0.3</v>
      </c>
      <c r="F10" s="12">
        <f t="shared" si="0"/>
        <v>85.272986069822707</v>
      </c>
      <c r="G10" s="12">
        <f t="shared" si="1"/>
        <v>93.272986069822707</v>
      </c>
      <c r="P10" s="12">
        <v>-0.3</v>
      </c>
      <c r="Q10" s="12">
        <f t="shared" si="2"/>
        <v>79.938864618638874</v>
      </c>
      <c r="R10" s="12">
        <f t="shared" si="3"/>
        <v>87.938864618638874</v>
      </c>
      <c r="AA10" s="12">
        <v>-0.3</v>
      </c>
      <c r="AB10" s="12">
        <f t="shared" si="4"/>
        <v>73.868687828125488</v>
      </c>
      <c r="AC10" s="12">
        <f t="shared" si="5"/>
        <v>81.868687828125488</v>
      </c>
      <c r="AM10" s="12">
        <v>0.35</v>
      </c>
      <c r="AN10" s="12">
        <f t="shared" si="6"/>
        <v>84.5</v>
      </c>
      <c r="AO10" s="12">
        <f t="shared" si="7"/>
        <v>94.5</v>
      </c>
    </row>
    <row r="11" spans="1:41" x14ac:dyDescent="0.25">
      <c r="E11" s="12">
        <v>-0.2</v>
      </c>
      <c r="F11" s="12">
        <f t="shared" si="0"/>
        <v>78.782513199389712</v>
      </c>
      <c r="G11" s="12">
        <f t="shared" si="1"/>
        <v>86.782513199389712</v>
      </c>
      <c r="P11" s="12">
        <v>-0.2</v>
      </c>
      <c r="Q11" s="12">
        <f t="shared" si="2"/>
        <v>72.570892809246629</v>
      </c>
      <c r="R11" s="12">
        <f t="shared" si="3"/>
        <v>80.570892809246629</v>
      </c>
      <c r="AA11" s="12">
        <v>-0.2</v>
      </c>
      <c r="AB11" s="12">
        <f t="shared" si="4"/>
        <v>65.707038278224431</v>
      </c>
      <c r="AC11" s="12">
        <f t="shared" si="5"/>
        <v>73.707038278224431</v>
      </c>
      <c r="AM11" s="12">
        <v>0.4</v>
      </c>
      <c r="AN11" s="12">
        <f t="shared" si="6"/>
        <v>78</v>
      </c>
      <c r="AO11" s="12">
        <f t="shared" si="7"/>
        <v>88</v>
      </c>
    </row>
    <row r="12" spans="1:41" x14ac:dyDescent="0.25">
      <c r="E12" s="12">
        <v>-0.1</v>
      </c>
      <c r="F12" s="12">
        <f t="shared" si="0"/>
        <v>71.246810140951553</v>
      </c>
      <c r="G12" s="12">
        <f t="shared" si="1"/>
        <v>79.246810140951553</v>
      </c>
      <c r="P12" s="12">
        <v>-0.1</v>
      </c>
      <c r="Q12" s="12">
        <f t="shared" si="2"/>
        <v>64.266948876350085</v>
      </c>
      <c r="R12" s="12">
        <f t="shared" si="3"/>
        <v>72.266948876350085</v>
      </c>
      <c r="AA12" s="12">
        <v>-0.1</v>
      </c>
      <c r="AB12" s="12">
        <f t="shared" si="4"/>
        <v>56.805314601457383</v>
      </c>
      <c r="AC12" s="12">
        <f t="shared" si="5"/>
        <v>64.805314601457383</v>
      </c>
      <c r="AM12" s="12">
        <v>0.45</v>
      </c>
      <c r="AN12" s="12">
        <f t="shared" si="6"/>
        <v>71.5</v>
      </c>
      <c r="AO12" s="12">
        <f t="shared" si="7"/>
        <v>81.5</v>
      </c>
    </row>
    <row r="13" spans="1:41" x14ac:dyDescent="0.25">
      <c r="A13" s="14" t="s">
        <v>83</v>
      </c>
      <c r="B13" s="14"/>
      <c r="C13" s="14"/>
      <c r="E13" s="12">
        <v>0</v>
      </c>
      <c r="F13" s="12">
        <f t="shared" si="0"/>
        <v>62.807416400231816</v>
      </c>
      <c r="G13" s="12">
        <f t="shared" si="1"/>
        <v>70.807416400231816</v>
      </c>
      <c r="P13" s="12">
        <v>0</v>
      </c>
      <c r="Q13" s="12">
        <f t="shared" si="2"/>
        <v>55.27206261072476</v>
      </c>
      <c r="R13" s="12">
        <f t="shared" si="3"/>
        <v>63.27206261072476</v>
      </c>
      <c r="AA13" s="12">
        <v>0</v>
      </c>
      <c r="AB13" s="12">
        <f t="shared" si="4"/>
        <v>47.5</v>
      </c>
      <c r="AC13" s="12">
        <f t="shared" si="5"/>
        <v>55.5</v>
      </c>
      <c r="AM13" s="12">
        <v>0.5</v>
      </c>
      <c r="AN13" s="12">
        <f t="shared" si="6"/>
        <v>65</v>
      </c>
      <c r="AO13" s="12">
        <f t="shared" si="7"/>
        <v>75</v>
      </c>
    </row>
    <row r="14" spans="1:41" x14ac:dyDescent="0.25">
      <c r="A14" s="12" t="s">
        <v>84</v>
      </c>
      <c r="B14" s="12" t="s">
        <v>85</v>
      </c>
      <c r="C14" s="12" t="s">
        <v>86</v>
      </c>
      <c r="E14" s="12">
        <v>0.1</v>
      </c>
      <c r="F14" s="12">
        <f t="shared" si="0"/>
        <v>53.729249664059736</v>
      </c>
      <c r="G14" s="12">
        <f t="shared" si="1"/>
        <v>61.729249664059736</v>
      </c>
      <c r="P14" s="12">
        <v>0.1</v>
      </c>
      <c r="Q14" s="12">
        <f t="shared" si="2"/>
        <v>45.937825439473698</v>
      </c>
      <c r="R14" s="12">
        <f t="shared" si="3"/>
        <v>53.937825439473698</v>
      </c>
      <c r="AA14" s="12">
        <v>0.1</v>
      </c>
      <c r="AB14" s="12">
        <f t="shared" si="4"/>
        <v>38.194685398542624</v>
      </c>
      <c r="AC14" s="12">
        <f t="shared" si="5"/>
        <v>46.194685398542624</v>
      </c>
      <c r="AM14" s="12">
        <v>0.55000000000000004</v>
      </c>
      <c r="AN14" s="12">
        <f t="shared" si="6"/>
        <v>58.5</v>
      </c>
      <c r="AO14" s="12">
        <f t="shared" si="7"/>
        <v>68.5</v>
      </c>
    </row>
    <row r="15" spans="1:41" x14ac:dyDescent="0.25">
      <c r="A15" s="12" t="s">
        <v>87</v>
      </c>
      <c r="B15" s="12">
        <v>10</v>
      </c>
      <c r="C15" s="12">
        <f>'Faction Ship'!B15-'Crew Stats'!B2</f>
        <v>2</v>
      </c>
      <c r="E15" s="12">
        <v>0.2</v>
      </c>
      <c r="F15" s="12">
        <f t="shared" si="0"/>
        <v>44.377601565132501</v>
      </c>
      <c r="G15" s="12">
        <f t="shared" si="1"/>
        <v>52.377601565132501</v>
      </c>
      <c r="P15" s="12">
        <v>0.2</v>
      </c>
      <c r="Q15" s="12">
        <f t="shared" si="2"/>
        <v>36.672802635333746</v>
      </c>
      <c r="R15" s="12">
        <f t="shared" si="3"/>
        <v>44.672802635333746</v>
      </c>
      <c r="AA15" s="12">
        <v>0.2</v>
      </c>
      <c r="AB15" s="12">
        <f t="shared" si="4"/>
        <v>29.292961721775569</v>
      </c>
      <c r="AC15" s="12">
        <f t="shared" si="5"/>
        <v>37.292961721775569</v>
      </c>
      <c r="AM15" s="12">
        <v>0.6</v>
      </c>
      <c r="AN15" s="12">
        <f t="shared" si="6"/>
        <v>52</v>
      </c>
      <c r="AO15" s="12">
        <f t="shared" si="7"/>
        <v>62</v>
      </c>
    </row>
    <row r="16" spans="1:41" x14ac:dyDescent="0.25">
      <c r="A16" s="12" t="s">
        <v>88</v>
      </c>
      <c r="B16" s="12">
        <v>11</v>
      </c>
      <c r="C16" s="12">
        <f>'Faction Ship'!B16-'Crew Stats'!B3</f>
        <v>3</v>
      </c>
      <c r="E16" s="12">
        <v>0.3</v>
      </c>
      <c r="F16" s="12">
        <f t="shared" si="0"/>
        <v>35.164042485943497</v>
      </c>
      <c r="G16" s="12">
        <f t="shared" si="1"/>
        <v>43.164042485943497</v>
      </c>
      <c r="P16" s="12">
        <v>0.3</v>
      </c>
      <c r="Q16" s="12">
        <f t="shared" si="2"/>
        <v>27.873692165812656</v>
      </c>
      <c r="R16" s="12">
        <f t="shared" si="3"/>
        <v>35.873692165812656</v>
      </c>
      <c r="AA16" s="12">
        <v>0.3</v>
      </c>
      <c r="AB16" s="12">
        <f t="shared" si="4"/>
        <v>21.131312171874505</v>
      </c>
      <c r="AC16" s="12">
        <f t="shared" si="5"/>
        <v>29.131312171874505</v>
      </c>
      <c r="AM16" s="12">
        <v>0.65</v>
      </c>
      <c r="AN16" s="12">
        <f t="shared" si="6"/>
        <v>45.5</v>
      </c>
      <c r="AO16" s="12">
        <f t="shared" si="7"/>
        <v>55.5</v>
      </c>
    </row>
    <row r="17" spans="1:41" x14ac:dyDescent="0.25">
      <c r="A17" s="12" t="s">
        <v>89</v>
      </c>
      <c r="B17" s="12">
        <v>15</v>
      </c>
      <c r="C17" s="12">
        <f>'Faction Ship'!B17-'Crew Stats'!B4</f>
        <v>3</v>
      </c>
      <c r="E17" s="12">
        <v>0.4</v>
      </c>
      <c r="F17" s="12">
        <f t="shared" si="0"/>
        <v>26.476528478979226</v>
      </c>
      <c r="G17" s="12">
        <f t="shared" si="1"/>
        <v>34.476528478979226</v>
      </c>
      <c r="P17" s="12">
        <v>0.4</v>
      </c>
      <c r="Q17" s="12">
        <f t="shared" si="2"/>
        <v>19.86060274714211</v>
      </c>
      <c r="R17" s="12">
        <f t="shared" si="3"/>
        <v>27.86060274714211</v>
      </c>
      <c r="AA17" s="12">
        <v>0.4</v>
      </c>
      <c r="AB17" s="12">
        <f t="shared" si="4"/>
        <v>13.934402062622791</v>
      </c>
      <c r="AC17" s="12">
        <f t="shared" si="5"/>
        <v>21.934402062622791</v>
      </c>
      <c r="AM17" s="12">
        <v>0.7</v>
      </c>
      <c r="AN17" s="12">
        <f t="shared" si="6"/>
        <v>39</v>
      </c>
      <c r="AO17" s="12">
        <f t="shared" si="7"/>
        <v>49</v>
      </c>
    </row>
    <row r="18" spans="1:41" x14ac:dyDescent="0.25">
      <c r="E18" s="12">
        <v>0.5</v>
      </c>
      <c r="F18" s="12">
        <f t="shared" si="0"/>
        <v>18.617677671249389</v>
      </c>
      <c r="G18" s="12">
        <f t="shared" si="1"/>
        <v>26.617677671249389</v>
      </c>
      <c r="P18" s="12">
        <v>0.5</v>
      </c>
      <c r="Q18" s="12">
        <f t="shared" si="2"/>
        <v>12.837517353163605</v>
      </c>
      <c r="R18" s="12">
        <f t="shared" si="3"/>
        <v>20.837517353163605</v>
      </c>
      <c r="AA18" s="12">
        <v>0.5</v>
      </c>
      <c r="AB18" s="12">
        <f t="shared" si="4"/>
        <v>7.8031904757945441</v>
      </c>
      <c r="AC18" s="12">
        <f t="shared" si="5"/>
        <v>15.803190475794544</v>
      </c>
      <c r="AM18" s="12">
        <v>0.75</v>
      </c>
      <c r="AN18" s="12">
        <f t="shared" si="6"/>
        <v>32.5</v>
      </c>
      <c r="AO18" s="12">
        <f t="shared" si="7"/>
        <v>42.5</v>
      </c>
    </row>
    <row r="19" spans="1:41" x14ac:dyDescent="0.25">
      <c r="E19" s="12">
        <v>0.6</v>
      </c>
      <c r="F19" s="12">
        <f t="shared" si="0"/>
        <v>11.770627119680178</v>
      </c>
      <c r="G19" s="12">
        <f t="shared" si="1"/>
        <v>19.770627119680178</v>
      </c>
      <c r="P19" s="12">
        <v>0.6</v>
      </c>
      <c r="Q19" s="12">
        <f t="shared" si="2"/>
        <v>6.8857835205049831</v>
      </c>
      <c r="R19" s="12">
        <f t="shared" si="3"/>
        <v>14.885783520504983</v>
      </c>
      <c r="AA19" s="12">
        <v>0.6</v>
      </c>
      <c r="AB19" s="12">
        <f t="shared" si="4"/>
        <v>2.7313831125609767</v>
      </c>
      <c r="AC19" s="12">
        <f t="shared" si="5"/>
        <v>10.731383112560977</v>
      </c>
      <c r="AM19" s="12">
        <v>0.8</v>
      </c>
      <c r="AN19" s="12">
        <f t="shared" si="6"/>
        <v>26</v>
      </c>
      <c r="AO19" s="12">
        <f t="shared" si="7"/>
        <v>36</v>
      </c>
    </row>
    <row r="20" spans="1:41" x14ac:dyDescent="0.25">
      <c r="E20" s="12">
        <v>0.7</v>
      </c>
      <c r="F20" s="12">
        <f t="shared" si="0"/>
        <v>5.9977018582594468</v>
      </c>
      <c r="G20" s="12">
        <f t="shared" si="1"/>
        <v>13.997701858259447</v>
      </c>
      <c r="P20" s="12">
        <v>0.7</v>
      </c>
      <c r="Q20" s="12">
        <f t="shared" si="2"/>
        <v>1.9841121261367896</v>
      </c>
      <c r="R20" s="12">
        <f t="shared" si="3"/>
        <v>9.9841121261367896</v>
      </c>
      <c r="AA20" s="12">
        <v>0.7</v>
      </c>
      <c r="AB20" s="12">
        <f t="shared" si="4"/>
        <v>-1.3628973505483764</v>
      </c>
      <c r="AC20" s="12">
        <f t="shared" si="5"/>
        <v>6.6371026494516236</v>
      </c>
      <c r="AM20" s="12">
        <v>0.85</v>
      </c>
      <c r="AN20" s="12">
        <f t="shared" si="6"/>
        <v>19.5</v>
      </c>
      <c r="AO20" s="12">
        <f t="shared" si="7"/>
        <v>29.5</v>
      </c>
    </row>
    <row r="21" spans="1:41" x14ac:dyDescent="0.25">
      <c r="E21" s="12">
        <v>0.8</v>
      </c>
      <c r="F21" s="12">
        <f t="shared" si="0"/>
        <v>1.2635592953747263</v>
      </c>
      <c r="G21" s="12">
        <f t="shared" si="1"/>
        <v>9.2635592953747263</v>
      </c>
      <c r="P21" s="12">
        <v>0.8</v>
      </c>
      <c r="Q21" s="12">
        <f t="shared" si="2"/>
        <v>-1.9585971101248418</v>
      </c>
      <c r="R21" s="12">
        <f t="shared" si="3"/>
        <v>6.0414028898751582</v>
      </c>
      <c r="AA21" s="12">
        <v>0.8</v>
      </c>
      <c r="AB21" s="12">
        <f t="shared" si="4"/>
        <v>-4.6034129382597069</v>
      </c>
      <c r="AC21" s="12">
        <f t="shared" si="5"/>
        <v>3.3965870617402931</v>
      </c>
      <c r="AM21" s="12">
        <v>0.9</v>
      </c>
      <c r="AN21" s="12">
        <f t="shared" si="6"/>
        <v>13</v>
      </c>
      <c r="AO21" s="12">
        <f t="shared" si="7"/>
        <v>23</v>
      </c>
    </row>
    <row r="22" spans="1:41" x14ac:dyDescent="0.25">
      <c r="E22" s="12">
        <v>0.9</v>
      </c>
      <c r="F22" s="12">
        <f t="shared" si="0"/>
        <v>-2.5311888600393573</v>
      </c>
      <c r="G22" s="12">
        <f t="shared" si="1"/>
        <v>5.4688111399606427</v>
      </c>
      <c r="P22" s="12">
        <v>0.9</v>
      </c>
      <c r="Q22" s="12">
        <f t="shared" si="2"/>
        <v>-5.0701813520027059</v>
      </c>
      <c r="R22" s="12">
        <f t="shared" si="3"/>
        <v>2.9298186479972941</v>
      </c>
      <c r="AA22" s="12">
        <v>0.9</v>
      </c>
      <c r="AB22" s="12">
        <f t="shared" si="4"/>
        <v>-7.1283304928754401</v>
      </c>
      <c r="AC22" s="12">
        <f t="shared" si="5"/>
        <v>0.87166950712455993</v>
      </c>
      <c r="AM22" s="12">
        <v>0.95</v>
      </c>
      <c r="AN22" s="12">
        <f t="shared" si="6"/>
        <v>6.5</v>
      </c>
      <c r="AO22" s="12">
        <f t="shared" si="7"/>
        <v>16.5</v>
      </c>
    </row>
    <row r="23" spans="1:41" x14ac:dyDescent="0.25">
      <c r="E23" s="12">
        <v>1</v>
      </c>
      <c r="F23" s="12">
        <f t="shared" si="0"/>
        <v>-5.5177274973445556</v>
      </c>
      <c r="G23" s="12">
        <f t="shared" si="1"/>
        <v>2.4822725026554444</v>
      </c>
      <c r="P23" s="12">
        <v>1</v>
      </c>
      <c r="Q23" s="12">
        <f t="shared" si="2"/>
        <v>-7.4891687282490462</v>
      </c>
      <c r="R23" s="12">
        <f t="shared" si="3"/>
        <v>0.51083127175095377</v>
      </c>
      <c r="AA23" s="12">
        <v>1</v>
      </c>
      <c r="AB23" s="12">
        <f t="shared" si="4"/>
        <v>-9.0717658528041518</v>
      </c>
      <c r="AC23" s="12">
        <f t="shared" si="5"/>
        <v>-1.0717658528041527</v>
      </c>
      <c r="AM23" s="12">
        <v>1</v>
      </c>
      <c r="AN23" s="12">
        <f t="shared" si="6"/>
        <v>0</v>
      </c>
      <c r="AO23" s="12">
        <f t="shared" si="7"/>
        <v>10</v>
      </c>
    </row>
    <row r="26" spans="1:41" x14ac:dyDescent="0.25">
      <c r="E26" s="14" t="s">
        <v>97</v>
      </c>
      <c r="F26" s="14"/>
      <c r="G26" s="12">
        <v>1</v>
      </c>
      <c r="P26" s="14" t="s">
        <v>97</v>
      </c>
      <c r="Q26" s="14"/>
      <c r="R26" s="12">
        <v>0.75</v>
      </c>
    </row>
    <row r="27" spans="1:41" x14ac:dyDescent="0.25">
      <c r="E27" s="12" t="s">
        <v>96</v>
      </c>
      <c r="F27" s="12" t="s">
        <v>73</v>
      </c>
      <c r="G27" s="12" t="s">
        <v>69</v>
      </c>
      <c r="P27" s="12" t="s">
        <v>96</v>
      </c>
      <c r="Q27" s="12" t="s">
        <v>73</v>
      </c>
      <c r="R27" s="12" t="s">
        <v>69</v>
      </c>
    </row>
    <row r="28" spans="1:41" x14ac:dyDescent="0.25">
      <c r="E28" s="12">
        <v>-1</v>
      </c>
      <c r="F28" s="12">
        <f>125/(1+EXP(3*AA3-(0.5-$G$26)))-15</f>
        <v>100.51772749734457</v>
      </c>
      <c r="G28" s="12">
        <f>125/(1+EXP(3*AA3-(0.5-$G$26)))-7</f>
        <v>108.51772749734457</v>
      </c>
      <c r="P28" s="12">
        <v>-1</v>
      </c>
      <c r="Q28" s="12">
        <f>125/(1+EXP(3*AA3-(0.5-$R$26)))-15</f>
        <v>102.48916872824904</v>
      </c>
      <c r="R28" s="12">
        <f>125/(1+EXP(3*AA3-(0.5-$R$26)))-7</f>
        <v>110.48916872824904</v>
      </c>
      <c r="AA28" s="12">
        <v>2</v>
      </c>
      <c r="AB28" s="12">
        <v>1</v>
      </c>
      <c r="AC28" s="12">
        <v>1</v>
      </c>
    </row>
    <row r="29" spans="1:41" x14ac:dyDescent="0.25">
      <c r="E29" s="12">
        <v>-0.9</v>
      </c>
      <c r="F29" s="12">
        <f t="shared" ref="F29:F48" si="8">125/(1+EXP(3*AA4-(0.5-$G$26)))-15</f>
        <v>97.53118886003935</v>
      </c>
      <c r="G29" s="12">
        <f t="shared" ref="G29:G48" si="9">125/(1+EXP(3*AA4-(0.5-$G$26)))-7</f>
        <v>105.53118886003935</v>
      </c>
      <c r="P29" s="12">
        <v>-0.9</v>
      </c>
      <c r="Q29" s="12">
        <f t="shared" ref="Q29:Q48" si="10">125/(1+EXP(3*AA4-(0.5-$R$26)))-15</f>
        <v>100.07018135200269</v>
      </c>
      <c r="R29" s="12">
        <f t="shared" ref="R29:R48" si="11">125/(1+EXP(3*AA4-(0.5-$R$26)))-7</f>
        <v>108.07018135200269</v>
      </c>
      <c r="AA29" s="12">
        <v>1</v>
      </c>
      <c r="AB29" s="12">
        <v>1</v>
      </c>
      <c r="AC29" s="12">
        <v>1</v>
      </c>
    </row>
    <row r="30" spans="1:41" x14ac:dyDescent="0.25">
      <c r="E30" s="12">
        <v>-0.8</v>
      </c>
      <c r="F30" s="12">
        <f t="shared" si="8"/>
        <v>93.736440704625267</v>
      </c>
      <c r="G30" s="12">
        <f t="shared" si="9"/>
        <v>101.73644070462527</v>
      </c>
      <c r="P30" s="12">
        <v>-0.8</v>
      </c>
      <c r="Q30" s="12">
        <f t="shared" si="10"/>
        <v>96.958597110124842</v>
      </c>
      <c r="R30" s="12">
        <f t="shared" si="11"/>
        <v>104.95859711012484</v>
      </c>
      <c r="AA30" s="12">
        <v>0.2</v>
      </c>
      <c r="AB30" s="12">
        <v>1</v>
      </c>
      <c r="AC30" s="12">
        <v>1</v>
      </c>
    </row>
    <row r="31" spans="1:41" x14ac:dyDescent="0.25">
      <c r="E31" s="12">
        <v>-0.7</v>
      </c>
      <c r="F31" s="12">
        <f t="shared" si="8"/>
        <v>89.002298141740553</v>
      </c>
      <c r="G31" s="12">
        <f t="shared" si="9"/>
        <v>97.002298141740553</v>
      </c>
      <c r="P31" s="12">
        <v>-0.7</v>
      </c>
      <c r="Q31" s="12">
        <f t="shared" si="10"/>
        <v>93.015887873863221</v>
      </c>
      <c r="R31" s="12">
        <f t="shared" si="11"/>
        <v>101.01588787386322</v>
      </c>
      <c r="AA31" s="12">
        <v>0.3</v>
      </c>
      <c r="AB31" s="12">
        <v>1</v>
      </c>
      <c r="AC31" s="12">
        <v>1</v>
      </c>
    </row>
    <row r="32" spans="1:41" x14ac:dyDescent="0.25">
      <c r="E32" s="12">
        <v>-0.6</v>
      </c>
      <c r="F32" s="12">
        <f t="shared" si="8"/>
        <v>83.229372880319829</v>
      </c>
      <c r="G32" s="12">
        <f t="shared" si="9"/>
        <v>91.229372880319829</v>
      </c>
      <c r="P32" s="12">
        <v>-0.6</v>
      </c>
      <c r="Q32" s="12">
        <f t="shared" si="10"/>
        <v>88.114216479495013</v>
      </c>
      <c r="R32" s="12">
        <f t="shared" si="11"/>
        <v>96.114216479495013</v>
      </c>
      <c r="AA32" s="12">
        <v>0.4</v>
      </c>
      <c r="AB32" s="12">
        <v>0.8</v>
      </c>
      <c r="AC32" s="12">
        <v>1</v>
      </c>
    </row>
    <row r="33" spans="5:56" x14ac:dyDescent="0.25">
      <c r="E33" s="12">
        <v>-0.5</v>
      </c>
      <c r="F33" s="12">
        <f t="shared" si="8"/>
        <v>76.382322328750604</v>
      </c>
      <c r="G33" s="12">
        <f t="shared" si="9"/>
        <v>84.382322328750604</v>
      </c>
      <c r="P33" s="12">
        <v>-0.5</v>
      </c>
      <c r="Q33" s="12">
        <f t="shared" si="10"/>
        <v>82.162482646836395</v>
      </c>
      <c r="R33" s="12">
        <f t="shared" si="11"/>
        <v>90.162482646836395</v>
      </c>
      <c r="AA33" s="12">
        <v>0.5</v>
      </c>
      <c r="AB33" s="12">
        <v>0.6</v>
      </c>
      <c r="AC33" s="12">
        <v>1</v>
      </c>
    </row>
    <row r="34" spans="5:56" x14ac:dyDescent="0.25">
      <c r="E34" s="12">
        <v>-0.4</v>
      </c>
      <c r="F34" s="12">
        <f t="shared" si="8"/>
        <v>68.523471521020767</v>
      </c>
      <c r="G34" s="12">
        <f t="shared" si="9"/>
        <v>76.523471521020767</v>
      </c>
      <c r="P34" s="12">
        <v>-0.4</v>
      </c>
      <c r="Q34" s="12">
        <f t="shared" si="10"/>
        <v>75.13939725285789</v>
      </c>
      <c r="R34" s="12">
        <f t="shared" si="11"/>
        <v>83.13939725285789</v>
      </c>
      <c r="AA34" s="12">
        <v>0.6</v>
      </c>
      <c r="AB34" s="12">
        <v>0.4</v>
      </c>
      <c r="AC34" s="12">
        <v>1</v>
      </c>
      <c r="BC34" s="14"/>
      <c r="BD34" s="14"/>
    </row>
    <row r="35" spans="5:56" x14ac:dyDescent="0.25">
      <c r="E35" s="12">
        <v>-0.3</v>
      </c>
      <c r="F35" s="12">
        <f t="shared" si="8"/>
        <v>59.835957514056503</v>
      </c>
      <c r="G35" s="12">
        <f t="shared" si="9"/>
        <v>67.835957514056503</v>
      </c>
      <c r="P35" s="12">
        <v>-0.3</v>
      </c>
      <c r="Q35" s="12">
        <f t="shared" si="10"/>
        <v>67.126307834187344</v>
      </c>
      <c r="R35" s="12">
        <f t="shared" si="11"/>
        <v>75.126307834187344</v>
      </c>
      <c r="AA35" s="12">
        <v>0.7</v>
      </c>
      <c r="AB35" s="12">
        <v>0.2</v>
      </c>
      <c r="AC35" s="12">
        <v>1</v>
      </c>
    </row>
    <row r="36" spans="5:56" x14ac:dyDescent="0.25">
      <c r="E36" s="12">
        <v>-0.2</v>
      </c>
      <c r="F36" s="12">
        <f t="shared" si="8"/>
        <v>50.622398434867506</v>
      </c>
      <c r="G36" s="12">
        <f t="shared" si="9"/>
        <v>58.622398434867506</v>
      </c>
      <c r="P36" s="12">
        <v>-0.2</v>
      </c>
      <c r="Q36" s="12">
        <f t="shared" si="10"/>
        <v>58.327197364666262</v>
      </c>
      <c r="R36" s="12">
        <f t="shared" si="11"/>
        <v>66.327197364666262</v>
      </c>
      <c r="AA36" s="12">
        <v>0.8</v>
      </c>
      <c r="AB36" s="12">
        <v>0</v>
      </c>
      <c r="AC36" s="12">
        <v>1</v>
      </c>
    </row>
    <row r="37" spans="5:56" x14ac:dyDescent="0.25">
      <c r="E37" s="12">
        <v>-0.1</v>
      </c>
      <c r="F37" s="12">
        <f t="shared" si="8"/>
        <v>41.270750335940264</v>
      </c>
      <c r="G37" s="12">
        <f t="shared" si="9"/>
        <v>49.270750335940264</v>
      </c>
      <c r="P37" s="12">
        <v>-0.1</v>
      </c>
      <c r="Q37" s="12">
        <f t="shared" si="10"/>
        <v>49.062174560526287</v>
      </c>
      <c r="R37" s="12">
        <f t="shared" si="11"/>
        <v>57.062174560526287</v>
      </c>
      <c r="AA37" s="12">
        <v>0.9</v>
      </c>
      <c r="AB37" s="12">
        <v>0</v>
      </c>
      <c r="AC37" s="12">
        <v>1</v>
      </c>
    </row>
    <row r="38" spans="5:56" x14ac:dyDescent="0.25">
      <c r="E38" s="12">
        <v>0</v>
      </c>
      <c r="F38" s="12">
        <f t="shared" si="8"/>
        <v>32.192583599768177</v>
      </c>
      <c r="G38" s="12">
        <f t="shared" si="9"/>
        <v>40.192583599768177</v>
      </c>
      <c r="P38" s="12">
        <v>0</v>
      </c>
      <c r="Q38" s="12">
        <f t="shared" si="10"/>
        <v>39.72793738927524</v>
      </c>
      <c r="R38" s="12">
        <f t="shared" si="11"/>
        <v>47.72793738927524</v>
      </c>
      <c r="AA38" s="12">
        <v>1</v>
      </c>
      <c r="AB38" s="12">
        <v>0</v>
      </c>
      <c r="AC38" s="12">
        <v>1</v>
      </c>
    </row>
    <row r="39" spans="5:56" x14ac:dyDescent="0.25">
      <c r="E39" s="12">
        <v>0.1</v>
      </c>
      <c r="F39" s="12">
        <f t="shared" si="8"/>
        <v>23.75318985904844</v>
      </c>
      <c r="G39" s="12">
        <f t="shared" si="9"/>
        <v>31.75318985904844</v>
      </c>
      <c r="P39" s="12">
        <v>0.1</v>
      </c>
      <c r="Q39" s="12">
        <f t="shared" si="10"/>
        <v>30.733051123649915</v>
      </c>
      <c r="R39" s="12">
        <f t="shared" si="11"/>
        <v>38.733051123649915</v>
      </c>
    </row>
    <row r="40" spans="5:56" x14ac:dyDescent="0.25">
      <c r="E40" s="12">
        <v>0.2</v>
      </c>
      <c r="F40" s="12">
        <f t="shared" si="8"/>
        <v>16.217486800610295</v>
      </c>
      <c r="G40" s="12">
        <f t="shared" si="9"/>
        <v>24.217486800610295</v>
      </c>
      <c r="P40" s="12">
        <v>0.2</v>
      </c>
      <c r="Q40" s="12">
        <f t="shared" si="10"/>
        <v>22.429107190753378</v>
      </c>
      <c r="R40" s="12">
        <f t="shared" si="11"/>
        <v>30.429107190753378</v>
      </c>
    </row>
    <row r="41" spans="5:56" x14ac:dyDescent="0.25">
      <c r="E41" s="12">
        <v>0.3</v>
      </c>
      <c r="F41" s="12">
        <f t="shared" si="8"/>
        <v>9.7270139301772822</v>
      </c>
      <c r="G41" s="12">
        <f t="shared" si="9"/>
        <v>17.727013930177282</v>
      </c>
      <c r="P41" s="12">
        <v>0.3</v>
      </c>
      <c r="Q41" s="12">
        <f t="shared" si="10"/>
        <v>15.061135381361122</v>
      </c>
      <c r="R41" s="12">
        <f t="shared" si="11"/>
        <v>23.061135381361122</v>
      </c>
    </row>
    <row r="42" spans="5:56" x14ac:dyDescent="0.25">
      <c r="E42" s="12">
        <v>0.4</v>
      </c>
      <c r="F42" s="12">
        <f t="shared" si="8"/>
        <v>4.3081581354418361</v>
      </c>
      <c r="G42" s="12">
        <f t="shared" si="9"/>
        <v>12.308158135441836</v>
      </c>
      <c r="P42" s="12">
        <v>0.4</v>
      </c>
      <c r="Q42" s="12">
        <f t="shared" si="10"/>
        <v>8.7501957519141165</v>
      </c>
      <c r="R42" s="12">
        <f t="shared" si="11"/>
        <v>16.750195751914116</v>
      </c>
    </row>
    <row r="43" spans="5:56" x14ac:dyDescent="0.25">
      <c r="E43" s="12">
        <v>0.5</v>
      </c>
      <c r="F43" s="12">
        <f t="shared" si="8"/>
        <v>-9.963474723530652E-2</v>
      </c>
      <c r="G43" s="12">
        <f t="shared" si="9"/>
        <v>7.9003652527646935</v>
      </c>
      <c r="P43" s="12">
        <v>0.5</v>
      </c>
      <c r="Q43" s="12">
        <f t="shared" si="10"/>
        <v>3.5058997539611845</v>
      </c>
      <c r="R43" s="12">
        <f t="shared" si="11"/>
        <v>11.505899753961184</v>
      </c>
    </row>
    <row r="44" spans="5:56" x14ac:dyDescent="0.25">
      <c r="E44" s="12">
        <v>0.6</v>
      </c>
      <c r="F44" s="12">
        <f t="shared" si="8"/>
        <v>-3.6096298731429801</v>
      </c>
      <c r="G44" s="12">
        <f t="shared" si="9"/>
        <v>4.3903701268570199</v>
      </c>
      <c r="P44" s="12">
        <v>0.6</v>
      </c>
      <c r="Q44" s="12">
        <f t="shared" si="10"/>
        <v>-0.74345234002614013</v>
      </c>
      <c r="R44" s="12">
        <f t="shared" si="11"/>
        <v>7.2565476599738599</v>
      </c>
    </row>
    <row r="45" spans="5:56" x14ac:dyDescent="0.25">
      <c r="E45" s="12">
        <v>0.7</v>
      </c>
      <c r="F45" s="12">
        <f t="shared" si="8"/>
        <v>-6.3576974570816454</v>
      </c>
      <c r="G45" s="12">
        <f t="shared" si="9"/>
        <v>1.6423025429183546</v>
      </c>
      <c r="P45" s="12">
        <v>0.7</v>
      </c>
      <c r="Q45" s="12">
        <f t="shared" si="10"/>
        <v>-4.1167784449660889</v>
      </c>
      <c r="R45" s="12">
        <f t="shared" si="11"/>
        <v>3.8832215550339111</v>
      </c>
    </row>
    <row r="46" spans="5:56" x14ac:dyDescent="0.25">
      <c r="E46" s="12">
        <v>0.8</v>
      </c>
      <c r="F46" s="12">
        <f t="shared" si="8"/>
        <v>-8.4808046151977852</v>
      </c>
      <c r="G46" s="12">
        <f t="shared" si="9"/>
        <v>-0.48080461519778517</v>
      </c>
      <c r="P46" s="12">
        <v>0.8</v>
      </c>
      <c r="Q46" s="12">
        <f t="shared" si="10"/>
        <v>-6.751373813597656</v>
      </c>
      <c r="R46" s="12">
        <f t="shared" si="11"/>
        <v>1.248626186402344</v>
      </c>
    </row>
    <row r="47" spans="5:56" x14ac:dyDescent="0.25">
      <c r="E47" s="12">
        <v>0.9</v>
      </c>
      <c r="F47" s="12">
        <f t="shared" si="8"/>
        <v>-10.104284650404455</v>
      </c>
      <c r="G47" s="12">
        <f t="shared" si="9"/>
        <v>-2.1042846504044554</v>
      </c>
      <c r="P47" s="12">
        <v>0.9</v>
      </c>
      <c r="Q47" s="12">
        <f t="shared" si="10"/>
        <v>-8.7829360551804108</v>
      </c>
      <c r="R47" s="12">
        <f t="shared" si="11"/>
        <v>-0.78293605518041076</v>
      </c>
    </row>
    <row r="48" spans="5:56" x14ac:dyDescent="0.25">
      <c r="E48" s="12">
        <v>1</v>
      </c>
      <c r="F48" s="12">
        <f t="shared" si="8"/>
        <v>-11.335971156080459</v>
      </c>
      <c r="G48" s="12">
        <f t="shared" si="9"/>
        <v>-3.3359711560804599</v>
      </c>
      <c r="P48" s="12">
        <v>1</v>
      </c>
      <c r="Q48" s="12">
        <f t="shared" si="10"/>
        <v>-10.334139081983817</v>
      </c>
      <c r="R48" s="12">
        <f t="shared" si="11"/>
        <v>-2.3341390819838175</v>
      </c>
    </row>
  </sheetData>
  <mergeCells count="10">
    <mergeCell ref="A1:B1"/>
    <mergeCell ref="E1:F1"/>
    <mergeCell ref="A8:C10"/>
    <mergeCell ref="A13:C13"/>
    <mergeCell ref="E26:F26"/>
    <mergeCell ref="BC34:BD34"/>
    <mergeCell ref="P1:Q1"/>
    <mergeCell ref="P26:Q26"/>
    <mergeCell ref="AA1:AB1"/>
    <mergeCell ref="AM1:AN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B422-C489-40C6-A48A-1B31AC14BA35}">
  <dimension ref="A1:H12"/>
  <sheetViews>
    <sheetView workbookViewId="0">
      <selection activeCell="R13" sqref="R13"/>
    </sheetView>
  </sheetViews>
  <sheetFormatPr defaultRowHeight="15" x14ac:dyDescent="0.25"/>
  <cols>
    <col min="1" max="1" width="9.140625" bestFit="1" customWidth="1"/>
    <col min="6" max="6" width="9.5703125" bestFit="1" customWidth="1"/>
    <col min="7" max="7" width="9.7109375" bestFit="1" customWidth="1"/>
  </cols>
  <sheetData>
    <row r="1" spans="1:8" x14ac:dyDescent="0.25">
      <c r="A1" s="7" t="s">
        <v>90</v>
      </c>
      <c r="B1" s="7" t="s">
        <v>62</v>
      </c>
      <c r="C1" t="s">
        <v>63</v>
      </c>
      <c r="F1" s="14" t="s">
        <v>91</v>
      </c>
      <c r="G1" s="14"/>
      <c r="H1" s="14"/>
    </row>
    <row r="2" spans="1:8" x14ac:dyDescent="0.25">
      <c r="A2" t="s">
        <v>61</v>
      </c>
      <c r="B2">
        <v>1</v>
      </c>
      <c r="C2">
        <v>6</v>
      </c>
      <c r="F2" t="s">
        <v>92</v>
      </c>
      <c r="G2" t="s">
        <v>93</v>
      </c>
    </row>
    <row r="3" spans="1:8" x14ac:dyDescent="0.25">
      <c r="A3" t="s">
        <v>64</v>
      </c>
      <c r="B3">
        <v>5</v>
      </c>
      <c r="C3">
        <v>12</v>
      </c>
      <c r="F3">
        <v>1</v>
      </c>
      <c r="G3">
        <f>ROUNDUP(F3/2, 0)</f>
        <v>1</v>
      </c>
    </row>
    <row r="4" spans="1:8" x14ac:dyDescent="0.25">
      <c r="A4" t="s">
        <v>65</v>
      </c>
      <c r="B4">
        <v>5</v>
      </c>
      <c r="C4">
        <v>15</v>
      </c>
      <c r="F4">
        <v>2</v>
      </c>
      <c r="G4" s="11">
        <f t="shared" ref="G4:G12" si="0">ROUNDUP(F4/2, 0)</f>
        <v>1</v>
      </c>
    </row>
    <row r="5" spans="1:8" x14ac:dyDescent="0.25">
      <c r="F5">
        <v>3</v>
      </c>
      <c r="G5" s="11">
        <f t="shared" si="0"/>
        <v>2</v>
      </c>
    </row>
    <row r="6" spans="1:8" x14ac:dyDescent="0.25">
      <c r="F6">
        <v>4</v>
      </c>
      <c r="G6" s="11">
        <f t="shared" si="0"/>
        <v>2</v>
      </c>
    </row>
    <row r="7" spans="1:8" x14ac:dyDescent="0.25">
      <c r="F7">
        <v>5</v>
      </c>
      <c r="G7" s="11">
        <f t="shared" si="0"/>
        <v>3</v>
      </c>
    </row>
    <row r="8" spans="1:8" x14ac:dyDescent="0.25">
      <c r="F8">
        <v>6</v>
      </c>
      <c r="G8" s="11">
        <f t="shared" si="0"/>
        <v>3</v>
      </c>
    </row>
    <row r="9" spans="1:8" x14ac:dyDescent="0.25">
      <c r="F9">
        <v>7</v>
      </c>
      <c r="G9" s="11">
        <f t="shared" si="0"/>
        <v>4</v>
      </c>
    </row>
    <row r="10" spans="1:8" x14ac:dyDescent="0.25">
      <c r="F10">
        <v>8</v>
      </c>
      <c r="G10" s="11">
        <f t="shared" si="0"/>
        <v>4</v>
      </c>
    </row>
    <row r="11" spans="1:8" x14ac:dyDescent="0.25">
      <c r="F11">
        <v>9</v>
      </c>
      <c r="G11" s="11">
        <f t="shared" si="0"/>
        <v>5</v>
      </c>
    </row>
    <row r="12" spans="1:8" x14ac:dyDescent="0.25">
      <c r="F12">
        <v>10</v>
      </c>
      <c r="G12" s="11">
        <f t="shared" si="0"/>
        <v>5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Resources Over Sectors</vt:lpstr>
      <vt:lpstr>Crew Stats</vt:lpstr>
      <vt:lpstr>Ship Stats</vt:lpstr>
      <vt:lpstr>Fishing Ship</vt:lpstr>
      <vt:lpstr>Merchant Ship</vt:lpstr>
      <vt:lpstr>Faction Ship</vt:lpstr>
      <vt:lpstr>Island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2018-07-16T21:44:54Z</dcterms:created>
  <dcterms:modified xsi:type="dcterms:W3CDTF">2018-08-03T21:01:44Z</dcterms:modified>
</cp:coreProperties>
</file>