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zachc\OneDrive\Documents\Job\Projects\Udemy Dashboard Projects\Final Projects\"/>
    </mc:Choice>
  </mc:AlternateContent>
  <xr:revisionPtr revIDLastSave="0" documentId="13_ncr:1_{0D574946-B788-47C9-8F20-E5B875DCC543}" xr6:coauthVersionLast="47" xr6:coauthVersionMax="47" xr10:uidLastSave="{00000000-0000-0000-0000-000000000000}"/>
  <bookViews>
    <workbookView xWindow="19090" yWindow="-110" windowWidth="38620" windowHeight="21100" tabRatio="752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Data!$A$1:$J$4266</definedName>
    <definedName name="CurMonth">'Data Prep'!$B$8</definedName>
    <definedName name="CurYear">'Data Prep'!$B$7</definedName>
    <definedName name="PMYear">'Data Prep'!$B$11</definedName>
    <definedName name="PrevMonth">'Data Prep'!$B$10</definedName>
    <definedName name="PrevYear">'Data Prep'!$B$9</definedName>
    <definedName name="Region">'Data Prep'!$B$2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2" l="1"/>
  <c r="M5" i="22"/>
  <c r="M6" i="22"/>
  <c r="M7" i="22"/>
  <c r="M8" i="22"/>
  <c r="M9" i="22"/>
  <c r="M10" i="22"/>
  <c r="M11" i="22"/>
  <c r="M12" i="22"/>
  <c r="M3" i="22"/>
  <c r="B2" i="22" l="1"/>
  <c r="AV3" i="16"/>
  <c r="AV4" i="16"/>
  <c r="AV5" i="16"/>
  <c r="AV6" i="16"/>
  <c r="AV7" i="16"/>
  <c r="AV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34" i="16"/>
  <c r="AV35" i="16"/>
  <c r="AV36" i="16"/>
  <c r="AV37" i="16"/>
  <c r="AV38" i="16"/>
  <c r="AV39" i="16"/>
  <c r="AV40" i="16"/>
  <c r="AV41" i="16"/>
  <c r="AV42" i="16"/>
  <c r="AV43" i="16"/>
  <c r="AV44" i="16"/>
  <c r="AV45" i="16"/>
  <c r="AV46" i="16"/>
  <c r="AV47" i="16"/>
  <c r="AV48" i="16"/>
  <c r="AV49" i="16"/>
  <c r="AV50" i="16"/>
  <c r="AV51" i="16"/>
  <c r="AV52" i="16"/>
  <c r="B7" i="22"/>
  <c r="B9" i="22" s="1"/>
  <c r="I2" i="22" s="1"/>
  <c r="S6" i="22" l="1"/>
  <c r="R4" i="22"/>
  <c r="R12" i="22"/>
  <c r="S7" i="22"/>
  <c r="R5" i="22"/>
  <c r="R3" i="22"/>
  <c r="S8" i="22"/>
  <c r="R6" i="22"/>
  <c r="S9" i="22"/>
  <c r="S10" i="22"/>
  <c r="R8" i="22"/>
  <c r="S11" i="22"/>
  <c r="R9" i="22"/>
  <c r="S4" i="22"/>
  <c r="S12" i="22"/>
  <c r="R10" i="22"/>
  <c r="S5" i="22"/>
  <c r="S3" i="22"/>
  <c r="R11" i="22"/>
  <c r="R7" i="22"/>
  <c r="I9" i="22"/>
  <c r="I10" i="22"/>
  <c r="I11" i="22"/>
  <c r="I4" i="22"/>
  <c r="I12" i="22"/>
  <c r="I5" i="22"/>
  <c r="I13" i="22"/>
  <c r="I6" i="22"/>
  <c r="I14" i="22"/>
  <c r="I8" i="22"/>
  <c r="I7" i="22"/>
  <c r="B8" i="22"/>
  <c r="V4" i="22" s="1"/>
  <c r="J2" i="22"/>
  <c r="V14" i="22" l="1"/>
  <c r="V31" i="22"/>
  <c r="AY52" i="16"/>
  <c r="AY14" i="16"/>
  <c r="AY36" i="16"/>
  <c r="V10" i="22"/>
  <c r="AY21" i="16"/>
  <c r="V11" i="22"/>
  <c r="AY30" i="16"/>
  <c r="AY15" i="16"/>
  <c r="V22" i="22"/>
  <c r="AY8" i="16"/>
  <c r="V17" i="22"/>
  <c r="V8" i="22"/>
  <c r="AY44" i="16"/>
  <c r="V18" i="22"/>
  <c r="AY25" i="16"/>
  <c r="V35" i="22"/>
  <c r="AY35" i="16"/>
  <c r="AY38" i="16"/>
  <c r="V23" i="22"/>
  <c r="AY10" i="16"/>
  <c r="AY49" i="16"/>
  <c r="V5" i="22"/>
  <c r="AY3" i="16"/>
  <c r="AY12" i="16"/>
  <c r="V33" i="22"/>
  <c r="V16" i="22"/>
  <c r="V9" i="22"/>
  <c r="V26" i="22"/>
  <c r="AY29" i="16"/>
  <c r="AY11" i="16"/>
  <c r="AY46" i="16"/>
  <c r="AY22" i="16"/>
  <c r="AY40" i="16"/>
  <c r="AY16" i="16"/>
  <c r="AY13" i="16"/>
  <c r="AY50" i="16"/>
  <c r="V6" i="22"/>
  <c r="AY28" i="16"/>
  <c r="AY19" i="16"/>
  <c r="V3" i="22"/>
  <c r="AY7" i="16"/>
  <c r="AY20" i="16"/>
  <c r="V19" i="22"/>
  <c r="V24" i="22"/>
  <c r="V25" i="22"/>
  <c r="V34" i="22"/>
  <c r="AY33" i="16"/>
  <c r="AY23" i="16"/>
  <c r="AY51" i="16"/>
  <c r="AY27" i="16"/>
  <c r="AY17" i="16"/>
  <c r="V13" i="22"/>
  <c r="V30" i="22"/>
  <c r="AY24" i="16"/>
  <c r="V12" i="22"/>
  <c r="V32" i="22"/>
  <c r="V27" i="22"/>
  <c r="AY5" i="16"/>
  <c r="AY37" i="16"/>
  <c r="AY34" i="16"/>
  <c r="AY26" i="16"/>
  <c r="AY43" i="16"/>
  <c r="V29" i="22"/>
  <c r="V15" i="22"/>
  <c r="V36" i="22"/>
  <c r="AY6" i="16"/>
  <c r="AY45" i="16"/>
  <c r="AY42" i="16"/>
  <c r="AY48" i="16"/>
  <c r="AY18" i="16"/>
  <c r="AY47" i="16"/>
  <c r="V21" i="22"/>
  <c r="V7" i="22"/>
  <c r="AY32" i="16"/>
  <c r="V28" i="22"/>
  <c r="AY4" i="16"/>
  <c r="V20" i="22"/>
  <c r="AY9" i="16"/>
  <c r="AY41" i="16"/>
  <c r="AY39" i="16"/>
  <c r="AY31" i="16"/>
  <c r="N3" i="22"/>
  <c r="N6" i="22"/>
  <c r="J7" i="22"/>
  <c r="J3" i="22"/>
  <c r="N4" i="22"/>
  <c r="J8" i="22"/>
  <c r="N12" i="22"/>
  <c r="J9" i="22"/>
  <c r="N11" i="22"/>
  <c r="J10" i="22"/>
  <c r="N10" i="22"/>
  <c r="N7" i="22"/>
  <c r="J11" i="22"/>
  <c r="N9" i="22"/>
  <c r="J4" i="22"/>
  <c r="J12" i="22"/>
  <c r="N8" i="22"/>
  <c r="J5" i="22"/>
  <c r="J13" i="22"/>
  <c r="N5" i="22"/>
  <c r="J6" i="22"/>
  <c r="J14" i="22"/>
  <c r="B11" i="22"/>
  <c r="E3" i="22"/>
  <c r="E2" i="22"/>
  <c r="B10" i="22"/>
  <c r="W10" i="22" l="1"/>
  <c r="X10" i="22" s="1"/>
  <c r="W18" i="22"/>
  <c r="X18" i="22" s="1"/>
  <c r="W26" i="22"/>
  <c r="X26" i="22" s="1"/>
  <c r="W34" i="22"/>
  <c r="X34" i="22" s="1"/>
  <c r="W11" i="22"/>
  <c r="X11" i="22" s="1"/>
  <c r="W19" i="22"/>
  <c r="X19" i="22" s="1"/>
  <c r="W27" i="22"/>
  <c r="X27" i="22" s="1"/>
  <c r="W35" i="22"/>
  <c r="X35" i="22" s="1"/>
  <c r="W4" i="22"/>
  <c r="X4" i="22" s="1"/>
  <c r="W12" i="22"/>
  <c r="X12" i="22" s="1"/>
  <c r="W20" i="22"/>
  <c r="X20" i="22" s="1"/>
  <c r="W28" i="22"/>
  <c r="X28" i="22" s="1"/>
  <c r="W36" i="22"/>
  <c r="X36" i="22" s="1"/>
  <c r="W5" i="22"/>
  <c r="X5" i="22" s="1"/>
  <c r="W13" i="22"/>
  <c r="X13" i="22" s="1"/>
  <c r="W21" i="22"/>
  <c r="X21" i="22" s="1"/>
  <c r="W29" i="22"/>
  <c r="X29" i="22" s="1"/>
  <c r="W3" i="22"/>
  <c r="X3" i="22" s="1"/>
  <c r="W6" i="22"/>
  <c r="X6" i="22" s="1"/>
  <c r="W14" i="22"/>
  <c r="X14" i="22" s="1"/>
  <c r="W22" i="22"/>
  <c r="X22" i="22" s="1"/>
  <c r="W30" i="22"/>
  <c r="X30" i="22" s="1"/>
  <c r="W7" i="22"/>
  <c r="X7" i="22" s="1"/>
  <c r="W15" i="22"/>
  <c r="X15" i="22" s="1"/>
  <c r="W23" i="22"/>
  <c r="X23" i="22" s="1"/>
  <c r="W31" i="22"/>
  <c r="X31" i="22" s="1"/>
  <c r="W8" i="22"/>
  <c r="X8" i="22" s="1"/>
  <c r="W16" i="22"/>
  <c r="X16" i="22" s="1"/>
  <c r="W24" i="22"/>
  <c r="X24" i="22" s="1"/>
  <c r="W32" i="22"/>
  <c r="X32" i="22" s="1"/>
  <c r="W9" i="22"/>
  <c r="X9" i="22" s="1"/>
  <c r="W17" i="22"/>
  <c r="X17" i="22" s="1"/>
  <c r="W25" i="22"/>
  <c r="X25" i="22" s="1"/>
  <c r="W33" i="22"/>
  <c r="X33" i="22" s="1"/>
  <c r="Q12" i="22"/>
  <c r="Q9" i="22"/>
  <c r="Q5" i="22"/>
  <c r="Q7" i="22"/>
  <c r="E4" i="22"/>
  <c r="E6" i="22" s="1"/>
  <c r="O5" i="22"/>
  <c r="P5" i="22" s="1"/>
  <c r="O3" i="22"/>
  <c r="P3" i="22" s="1"/>
  <c r="O8" i="22"/>
  <c r="P8" i="22" s="1"/>
  <c r="O9" i="22"/>
  <c r="P9" i="22" s="1"/>
  <c r="O4" i="22"/>
  <c r="P4" i="22" s="1"/>
  <c r="O6" i="22"/>
  <c r="P6" i="22" s="1"/>
  <c r="O11" i="22"/>
  <c r="P11" i="22" s="1"/>
  <c r="O12" i="22"/>
  <c r="P12" i="22" s="1"/>
  <c r="O10" i="22"/>
  <c r="P10" i="22" s="1"/>
  <c r="O7" i="22"/>
  <c r="P7" i="22" s="1"/>
  <c r="Q10" i="22"/>
  <c r="Q6" i="22"/>
  <c r="Q8" i="22"/>
  <c r="Q11" i="22"/>
  <c r="Q4" i="22"/>
  <c r="Q3" i="22"/>
  <c r="E5" i="22"/>
  <c r="I3" i="22"/>
  <c r="Z17" i="22" l="1"/>
  <c r="Y17" i="22"/>
  <c r="Z9" i="22"/>
  <c r="Y9" i="22"/>
  <c r="Z7" i="22"/>
  <c r="Y7" i="22"/>
  <c r="Y13" i="22"/>
  <c r="Z13" i="22"/>
  <c r="Z27" i="22"/>
  <c r="Y27" i="22"/>
  <c r="Y21" i="22"/>
  <c r="Z21" i="22"/>
  <c r="Z32" i="22"/>
  <c r="Y32" i="22"/>
  <c r="Y30" i="22"/>
  <c r="Z30" i="22"/>
  <c r="Y5" i="22"/>
  <c r="Z5" i="22"/>
  <c r="Z19" i="22"/>
  <c r="Y19" i="22"/>
  <c r="Z35" i="22"/>
  <c r="Y35" i="22"/>
  <c r="Z24" i="22"/>
  <c r="Y24" i="22"/>
  <c r="Y22" i="22"/>
  <c r="Z22" i="22"/>
  <c r="Z36" i="22"/>
  <c r="Y36" i="22"/>
  <c r="Z11" i="22"/>
  <c r="Y11" i="22"/>
  <c r="Z16" i="22"/>
  <c r="Y16" i="22"/>
  <c r="Y14" i="22"/>
  <c r="Z14" i="22"/>
  <c r="Z28" i="22"/>
  <c r="Y28" i="22"/>
  <c r="Z34" i="22"/>
  <c r="Y34" i="22"/>
  <c r="Z15" i="22"/>
  <c r="Y15" i="22"/>
  <c r="Z8" i="22"/>
  <c r="Y8" i="22"/>
  <c r="Y6" i="22"/>
  <c r="Z6" i="22"/>
  <c r="Z20" i="22"/>
  <c r="Y20" i="22"/>
  <c r="Z26" i="22"/>
  <c r="Y26" i="22"/>
  <c r="Z33" i="22"/>
  <c r="Y33" i="22"/>
  <c r="Z31" i="22"/>
  <c r="Y31" i="22"/>
  <c r="Y3" i="22"/>
  <c r="Z3" i="22"/>
  <c r="Z12" i="22"/>
  <c r="Y12" i="22"/>
  <c r="Z18" i="22"/>
  <c r="Y18" i="22"/>
  <c r="Z25" i="22"/>
  <c r="Y25" i="22"/>
  <c r="Z23" i="22"/>
  <c r="Y23" i="22"/>
  <c r="Y29" i="22"/>
  <c r="Z29" i="22"/>
  <c r="Z4" i="22"/>
  <c r="Y4" i="22"/>
  <c r="Z10" i="22"/>
  <c r="Y10" i="22"/>
  <c r="AE7" i="22" l="1"/>
  <c r="X12" i="23" s="1"/>
  <c r="AE6" i="22"/>
  <c r="X11" i="23" s="1"/>
  <c r="AE5" i="22"/>
  <c r="X10" i="23" s="1"/>
  <c r="AE4" i="22"/>
  <c r="X9" i="23" s="1"/>
  <c r="AE3" i="22"/>
  <c r="X8" i="23" s="1"/>
  <c r="AE16" i="22"/>
  <c r="X22" i="23" s="1"/>
  <c r="AD13" i="22"/>
  <c r="W19" i="23" s="1"/>
  <c r="AE15" i="22"/>
  <c r="X21" i="23" s="1"/>
  <c r="AD12" i="22"/>
  <c r="W18" i="23" s="1"/>
  <c r="AE14" i="22"/>
  <c r="X20" i="23" s="1"/>
  <c r="AC16" i="22"/>
  <c r="V22" i="23" s="1"/>
  <c r="AE13" i="22"/>
  <c r="X19" i="23" s="1"/>
  <c r="AC15" i="22"/>
  <c r="V21" i="23" s="1"/>
  <c r="AE12" i="22"/>
  <c r="X18" i="23" s="1"/>
  <c r="AC14" i="22"/>
  <c r="V20" i="23" s="1"/>
  <c r="AD16" i="22"/>
  <c r="W22" i="23" s="1"/>
  <c r="AC13" i="22"/>
  <c r="V19" i="23" s="1"/>
  <c r="AD15" i="22"/>
  <c r="W21" i="23" s="1"/>
  <c r="AC12" i="22"/>
  <c r="V18" i="23" s="1"/>
  <c r="AD14" i="22"/>
  <c r="W20" i="23" s="1"/>
  <c r="AC7" i="22"/>
  <c r="V12" i="23" s="1"/>
  <c r="AC6" i="22"/>
  <c r="V11" i="23" s="1"/>
  <c r="AC5" i="22"/>
  <c r="V10" i="23" s="1"/>
  <c r="AD7" i="22"/>
  <c r="W12" i="23" s="1"/>
  <c r="AC4" i="22"/>
  <c r="V9" i="23" s="1"/>
  <c r="AD6" i="22"/>
  <c r="W11" i="23" s="1"/>
  <c r="AC3" i="22"/>
  <c r="V8" i="23" s="1"/>
  <c r="AD5" i="22"/>
  <c r="W10" i="23" s="1"/>
  <c r="AD4" i="22"/>
  <c r="W9" i="23" s="1"/>
  <c r="AD3" i="22"/>
  <c r="W8" i="23" s="1"/>
  <c r="X23" i="23" l="1"/>
  <c r="X13" i="23"/>
</calcChain>
</file>

<file path=xl/sharedStrings.xml><?xml version="1.0" encoding="utf-8"?>
<sst xmlns="http://schemas.openxmlformats.org/spreadsheetml/2006/main" count="24195" uniqueCount="112">
  <si>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</si>
  <si>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</si>
  <si>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</si>
  <si>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</si>
  <si>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</si>
  <si>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</si>
  <si>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</si>
  <si>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</si>
  <si>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</si>
  <si>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</si>
  <si>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</si>
  <si>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</si>
  <si>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</si>
  <si>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</si>
  <si>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</si>
  <si>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</si>
  <si>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</si>
  <si>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</si>
  <si>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</si>
  <si>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</si>
  <si>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</si>
  <si>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</si>
  <si>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</si>
  <si>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</si>
  <si>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</si>
  <si>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</si>
  <si>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</si>
  <si>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</si>
  <si>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</si>
  <si>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</si>
  <si>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</si>
  <si>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</si>
  <si>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</si>
  <si>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</si>
  <si>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</si>
  <si>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</si>
  <si>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</si>
  <si>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</si>
  <si>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</si>
  <si>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</si>
  <si>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</si>
  <si>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</si>
  <si>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</si>
  <si>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</si>
  <si>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</si>
  <si>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</si>
  <si>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</si>
  <si>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</si>
  <si>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</si>
  <si>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</si>
  <si>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</si>
  <si>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</si>
  <si>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</si>
  <si>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</si>
  <si>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</si>
  <si>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</si>
  <si>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</si>
  <si>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</si>
  <si>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</si>
  <si>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</si>
  <si>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</si>
  <si>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</si>
  <si>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</si>
  <si>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</si>
  <si>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</si>
  <si>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</si>
  <si>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</si>
  <si>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</si>
  <si>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</si>
  <si>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</si>
  <si>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</si>
  <si>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</si>
  <si>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</si>
  <si>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</si>
  <si>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</si>
  <si>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Selection</t>
  </si>
  <si>
    <t>Date Filter</t>
  </si>
  <si>
    <t>Current Year</t>
  </si>
  <si>
    <t>Current Month</t>
  </si>
  <si>
    <t>Previous Year</t>
  </si>
  <si>
    <t>Previous Month</t>
  </si>
  <si>
    <t>KPIS</t>
  </si>
  <si>
    <t>Total Revenue</t>
  </si>
  <si>
    <t>PY Revenue</t>
  </si>
  <si>
    <t>PM Revenue</t>
  </si>
  <si>
    <t>PM Year</t>
  </si>
  <si>
    <t>YoY % Change</t>
  </si>
  <si>
    <t>MoM % Change</t>
  </si>
  <si>
    <t>Revenue Trend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</si>
  <si>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</si>
  <si>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</si>
  <si>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</si>
  <si>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</si>
  <si>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</si>
  <si>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</si>
  <si>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</si>
  <si>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</si>
  <si>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</si>
  <si>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</si>
  <si>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</si>
  <si>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</si>
  <si>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#</t>
  </si>
  <si>
    <t>Store Performance</t>
  </si>
  <si>
    <t>Stores</t>
  </si>
  <si>
    <t>Rank</t>
  </si>
  <si>
    <t>Product Performance</t>
  </si>
  <si>
    <t>Product</t>
  </si>
  <si>
    <t>MoM Change</t>
  </si>
  <si>
    <t>Rank(+)</t>
  </si>
  <si>
    <t>Rank(-)</t>
  </si>
  <si>
    <t>Top Performing Products</t>
  </si>
  <si>
    <t>Region: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</si>
</sst>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sz val="24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1" applyFont="1"/>
    <xf numFmtId="164" fontId="0" fillId="0" borderId="0" xfId="0" applyNumberFormat="1" applyAlignment="1">
      <alignment horizontal="left"/>
    </xf>
    <xf numFmtId="165" fontId="1" fillId="5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0" fontId="6" fillId="0" borderId="0" xfId="0" applyFont="1" applyAlignment="1">
      <alignment horizontal="right"/>
    </xf>
    <xf numFmtId="0" fontId="9" fillId="5" borderId="0" xfId="0" applyFont="1" applyFill="1"/>
    <xf numFmtId="0" fontId="8" fillId="5" borderId="0" xfId="0" applyFont="1" applyFill="1"/>
    <xf numFmtId="164" fontId="1" fillId="0" borderId="0" xfId="0" applyNumberFormat="1" applyFont="1"/>
    <xf numFmtId="9" fontId="0" fillId="0" borderId="0" xfId="1" applyFont="1" applyAlignment="1">
      <alignment horizontal="center"/>
    </xf>
    <xf numFmtId="0" fontId="7" fillId="7" borderId="0" xfId="0" applyFont="1" applyFill="1" applyAlignment="1" applyProtection="1">
      <alignment horizontal="center"/>
      <protection locked="0"/>
    </xf>
    <xf numFmtId="0" fontId="3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theme="9" tint="-0.24994659260841701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969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Trends for 2020 &amp; 2021</a:t>
            </a:r>
            <a:endParaRPr lang="en-US"/>
          </a:p>
        </c:rich>
      </c:tx>
      <c:layout>
        <c:manualLayout>
          <c:xMode val="edge"/>
          <c:yMode val="edge"/>
          <c:x val="0.27453455373915819"/>
          <c:y val="3.0848329048843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60892388451444"/>
          <c:y val="5.0925925925925923E-2"/>
          <c:w val="0.78705774278215224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C-401F-86BD-1E28447A7AF6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C-401F-86BD-1E28447A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33983"/>
        <c:axId val="139933151"/>
      </c:lineChart>
      <c:catAx>
        <c:axId val="13993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Month</a:t>
                </a:r>
              </a:p>
            </c:rich>
          </c:tx>
          <c:layout>
            <c:manualLayout>
              <c:xMode val="edge"/>
              <c:yMode val="edge"/>
              <c:x val="0.19907057303116299"/>
              <c:y val="0.8930538631257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3151"/>
        <c:crosses val="autoZero"/>
        <c:auto val="1"/>
        <c:lblAlgn val="ctr"/>
        <c:lblOffset val="100"/>
        <c:noMultiLvlLbl val="0"/>
      </c:catAx>
      <c:valAx>
        <c:axId val="13993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Revenue</a:t>
                </a:r>
              </a:p>
            </c:rich>
          </c:tx>
          <c:layout>
            <c:manualLayout>
              <c:xMode val="edge"/>
              <c:yMode val="edge"/>
              <c:x val="1.7958351652743915E-2"/>
              <c:y val="0.31965103333805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398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010693107805968"/>
          <c:y val="0.89575769635293778"/>
          <c:w val="0.34306593655488493"/>
          <c:h val="8.676153270044330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Prep'!$N$2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Prep'!$L$3:$L$12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Prep'!$N$3:$N$12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22152.709999999995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F-463C-8279-9086BE3319F8}"/>
            </c:ext>
          </c:extLst>
        </c:ser>
        <c:ser>
          <c:idx val="1"/>
          <c:order val="1"/>
          <c:tx>
            <c:strRef>
              <c:f>'Data Prep'!$R$2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Prep'!$R$3:$R$12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32052.109999999993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F-463C-8279-9086BE3319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1967082015"/>
        <c:axId val="1967084511"/>
      </c:barChart>
      <c:catAx>
        <c:axId val="196708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84511"/>
        <c:crosses val="autoZero"/>
        <c:auto val="1"/>
        <c:lblAlgn val="ctr"/>
        <c:lblOffset val="100"/>
        <c:noMultiLvlLbl val="0"/>
      </c:catAx>
      <c:valAx>
        <c:axId val="1967084511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19670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Prep'!$P$2</c:f>
              <c:strCache>
                <c:ptCount val="1"/>
                <c:pt idx="0">
                  <c:v>MoM % Change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Prep'!$L$3:$L$12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Prep'!$P$3:$P$12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-0.1788871560156039</c:v>
                </c:pt>
                <c:pt idx="3">
                  <c:v>-0.13320683521372423</c:v>
                </c:pt>
                <c:pt idx="4">
                  <c:v>0.23712440332117013</c:v>
                </c:pt>
                <c:pt idx="5">
                  <c:v>0.1474812113225703</c:v>
                </c:pt>
                <c:pt idx="6">
                  <c:v>0.13137771166480761</c:v>
                </c:pt>
                <c:pt idx="7">
                  <c:v>8.5297768847375277E-2</c:v>
                </c:pt>
                <c:pt idx="8">
                  <c:v>0.27047933357538878</c:v>
                </c:pt>
                <c:pt idx="9">
                  <c:v>0.19364351342585118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A-40AD-B388-43D459F70359}"/>
            </c:ext>
          </c:extLst>
        </c:ser>
        <c:ser>
          <c:idx val="1"/>
          <c:order val="1"/>
          <c:tx>
            <c:strRef>
              <c:f>'Data Prep'!$S$2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Prep'!$S$3:$S$12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0.27047933357538878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E7EA-40AD-B388-43D459F703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1967082015"/>
        <c:axId val="1967084511"/>
      </c:barChart>
      <c:catAx>
        <c:axId val="196708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84511"/>
        <c:crosses val="autoZero"/>
        <c:auto val="1"/>
        <c:lblAlgn val="ctr"/>
        <c:lblOffset val="100"/>
        <c:noMultiLvlLbl val="0"/>
      </c:catAx>
      <c:valAx>
        <c:axId val="196708451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670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emf"/><Relationship Id="rId1" Type="http://schemas.openxmlformats.org/officeDocument/2006/relationships/image" Target="../media/image5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127000</xdr:rowOff>
    </xdr:from>
    <xdr:to>
      <xdr:col>4</xdr:col>
      <xdr:colOff>412750</xdr:colOff>
      <xdr:row>10</xdr:row>
      <xdr:rowOff>114300</xdr:rowOff>
    </xdr:to>
    <xdr:sp macro="" textlink="$E$2">
      <xdr:nvSpPr>
        <xdr:cNvPr id="2" name="TextBox 1">
          <a:extLst>
            <a:ext uri="{FF2B5EF4-FFF2-40B4-BE49-F238E27FC236}">
              <a16:creationId xmlns:a16="http://schemas.microsoft.com/office/drawing/2014/main" id="{A5508603-83C1-175A-D2F4-D24A545924A0}"/>
            </a:ext>
          </a:extLst>
        </xdr:cNvPr>
        <xdr:cNvSpPr txBox="1"/>
      </xdr:nvSpPr>
      <xdr:spPr>
        <a:xfrm>
          <a:off x="2298700" y="1231900"/>
          <a:ext cx="1428750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2F98164-81F4-4194-B04D-E8584CB7F48F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$59,783</a:t>
          </a:fld>
          <a:endParaRPr lang="en-US" sz="2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558799</xdr:colOff>
          <xdr:row>10</xdr:row>
          <xdr:rowOff>152400</xdr:rowOff>
        </xdr:from>
        <xdr:to>
          <xdr:col>5</xdr:col>
          <xdr:colOff>4232</xdr:colOff>
          <xdr:row>13</xdr:row>
          <xdr:rowOff>107950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989500B8-1A93-01CE-166F-B363688AA0B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5" spid="_x0000_s21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285999" y="1993900"/>
              <a:ext cx="1642533" cy="508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584200</xdr:colOff>
          <xdr:row>13</xdr:row>
          <xdr:rowOff>127000</xdr:rowOff>
        </xdr:from>
        <xdr:to>
          <xdr:col>5</xdr:col>
          <xdr:colOff>6350</xdr:colOff>
          <xdr:row>16</xdr:row>
          <xdr:rowOff>82550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28C34C83-7ABF-1144-939A-306898633C7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6" spid="_x0000_s212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311400" y="2520950"/>
              <a:ext cx="1619250" cy="508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158750</xdr:rowOff>
    </xdr:from>
    <xdr:to>
      <xdr:col>8</xdr:col>
      <xdr:colOff>38100</xdr:colOff>
      <xdr:row>4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9C7797-F078-0A2A-436F-0B66E49C4CA2}"/>
            </a:ext>
          </a:extLst>
        </xdr:cNvPr>
        <xdr:cNvSpPr txBox="1"/>
      </xdr:nvSpPr>
      <xdr:spPr>
        <a:xfrm>
          <a:off x="228600" y="158750"/>
          <a:ext cx="4686300" cy="66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Regional Revenue Dashboard</a:t>
          </a:r>
        </a:p>
      </xdr:txBody>
    </xdr:sp>
    <xdr:clientData/>
  </xdr:twoCellAnchor>
  <xdr:twoCellAnchor>
    <xdr:from>
      <xdr:col>1</xdr:col>
      <xdr:colOff>742950</xdr:colOff>
      <xdr:row>7</xdr:row>
      <xdr:rowOff>76200</xdr:rowOff>
    </xdr:from>
    <xdr:to>
      <xdr:col>2</xdr:col>
      <xdr:colOff>1295400</xdr:colOff>
      <xdr:row>10</xdr:row>
      <xdr:rowOff>69850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F00060-CA52-4FA7-14B4-77A0934CF76A}"/>
            </a:ext>
          </a:extLst>
        </xdr:cNvPr>
        <xdr:cNvSpPr txBox="1"/>
      </xdr:nvSpPr>
      <xdr:spPr>
        <a:xfrm>
          <a:off x="1047750" y="1574800"/>
          <a:ext cx="1708150" cy="546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Total </a:t>
          </a:r>
          <a:r>
            <a:rPr lang="en-US" sz="1400" b="1">
              <a:solidFill>
                <a:schemeClr val="accent1"/>
              </a:solidFill>
            </a:rPr>
            <a:t>Revenue</a:t>
          </a:r>
        </a:p>
      </xdr:txBody>
    </xdr:sp>
    <xdr:clientData/>
  </xdr:twoCellAnchor>
  <xdr:twoCellAnchor>
    <xdr:from>
      <xdr:col>1</xdr:col>
      <xdr:colOff>114300</xdr:colOff>
      <xdr:row>9</xdr:row>
      <xdr:rowOff>82550</xdr:rowOff>
    </xdr:from>
    <xdr:to>
      <xdr:col>3</xdr:col>
      <xdr:colOff>152400</xdr:colOff>
      <xdr:row>13</xdr:row>
      <xdr:rowOff>0</xdr:rowOff>
    </xdr:to>
    <xdr:sp macro="" textlink="'Data Prep'!$E$2">
      <xdr:nvSpPr>
        <xdr:cNvPr id="16" name="TextBox 15">
          <a:extLst>
            <a:ext uri="{FF2B5EF4-FFF2-40B4-BE49-F238E27FC236}">
              <a16:creationId xmlns:a16="http://schemas.microsoft.com/office/drawing/2014/main" id="{6DC20FF1-9254-4FD5-8C01-D4D6D9257232}"/>
            </a:ext>
          </a:extLst>
        </xdr:cNvPr>
        <xdr:cNvSpPr txBox="1"/>
      </xdr:nvSpPr>
      <xdr:spPr>
        <a:xfrm>
          <a:off x="419100" y="1949450"/>
          <a:ext cx="2787650" cy="565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E201D07-F275-42B5-B7AC-E976ADE6584E}" type="TxLink">
            <a:rPr lang="en-US" sz="4000" b="1" i="0" u="none" strike="noStrike" noProof="0" smtClean="0">
              <a:solidFill>
                <a:schemeClr val="accent1"/>
              </a:solidFill>
              <a:latin typeface="Calibri"/>
              <a:ea typeface="Calibri"/>
              <a:cs typeface="Calibri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$59,783</a:t>
          </a:fld>
          <a:endParaRPr lang="en-US" sz="4000" b="1" i="0" u="none" strike="noStrike" noProof="0">
            <a:solidFill>
              <a:schemeClr val="accent1"/>
            </a:solidFill>
            <a:latin typeface="Calibri"/>
            <a:ea typeface="Calibri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13</xdr:row>
          <xdr:rowOff>101600</xdr:rowOff>
        </xdr:from>
        <xdr:to>
          <xdr:col>2</xdr:col>
          <xdr:colOff>524933</xdr:colOff>
          <xdr:row>17</xdr:row>
          <xdr:rowOff>19050</xdr:rowOff>
        </xdr:to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EF8F74EE-E0BB-46C4-A1A2-AECFA7D3C3E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51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2705100"/>
              <a:ext cx="1642533" cy="590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234950</xdr:colOff>
          <xdr:row>14</xdr:row>
          <xdr:rowOff>28757</xdr:rowOff>
        </xdr:from>
        <xdr:to>
          <xdr:col>3</xdr:col>
          <xdr:colOff>273050</xdr:colOff>
          <xdr:row>17</xdr:row>
          <xdr:rowOff>76200</xdr:rowOff>
        </xdr:to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05FF31AF-B47A-4567-9794-83DC4D72E1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516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695450" y="2568757"/>
              <a:ext cx="1631950" cy="59989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25400</xdr:colOff>
      <xdr:row>17</xdr:row>
      <xdr:rowOff>50800</xdr:rowOff>
    </xdr:from>
    <xdr:to>
      <xdr:col>2</xdr:col>
      <xdr:colOff>0</xdr:colOff>
      <xdr:row>18</xdr:row>
      <xdr:rowOff>158750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DCEFD86-C5D1-DBB3-2459-95F35B1CA5F0}"/>
            </a:ext>
          </a:extLst>
        </xdr:cNvPr>
        <xdr:cNvSpPr txBox="1"/>
      </xdr:nvSpPr>
      <xdr:spPr>
        <a:xfrm>
          <a:off x="330200" y="3390900"/>
          <a:ext cx="113030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MoM %</a:t>
          </a:r>
          <a:r>
            <a:rPr lang="en-US" sz="1100" b="1" baseline="0"/>
            <a:t> Change</a:t>
          </a:r>
          <a:endParaRPr lang="en-US" sz="1100" b="1"/>
        </a:p>
      </xdr:txBody>
    </xdr:sp>
    <xdr:clientData/>
  </xdr:twoCellAnchor>
  <xdr:twoCellAnchor>
    <xdr:from>
      <xdr:col>2</xdr:col>
      <xdr:colOff>165100</xdr:colOff>
      <xdr:row>17</xdr:row>
      <xdr:rowOff>76200</xdr:rowOff>
    </xdr:from>
    <xdr:to>
      <xdr:col>2</xdr:col>
      <xdr:colOff>1390650</xdr:colOff>
      <xdr:row>19</xdr:row>
      <xdr:rowOff>25400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AD4395D-574F-BC8B-3B77-C4E0360A8883}"/>
            </a:ext>
          </a:extLst>
        </xdr:cNvPr>
        <xdr:cNvSpPr txBox="1"/>
      </xdr:nvSpPr>
      <xdr:spPr>
        <a:xfrm>
          <a:off x="1625600" y="3416300"/>
          <a:ext cx="1225550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YoY % Change</a:t>
          </a:r>
        </a:p>
      </xdr:txBody>
    </xdr:sp>
    <xdr:clientData/>
  </xdr:twoCellAnchor>
  <xdr:twoCellAnchor>
    <xdr:from>
      <xdr:col>0</xdr:col>
      <xdr:colOff>88900</xdr:colOff>
      <xdr:row>19</xdr:row>
      <xdr:rowOff>127000</xdr:rowOff>
    </xdr:from>
    <xdr:to>
      <xdr:col>4</xdr:col>
      <xdr:colOff>76200</xdr:colOff>
      <xdr:row>33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1440892-D1E4-40E6-8F2E-7E45D1493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387350</xdr:colOff>
      <xdr:row>4</xdr:row>
      <xdr:rowOff>133350</xdr:rowOff>
    </xdr:from>
    <xdr:to>
      <xdr:col>12</xdr:col>
      <xdr:colOff>304800</xdr:colOff>
      <xdr:row>33</xdr:row>
      <xdr:rowOff>146050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CA3CD0A-5C78-4F91-A475-C4FB8F3CB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317500</xdr:colOff>
      <xdr:row>4</xdr:row>
      <xdr:rowOff>120650</xdr:rowOff>
    </xdr:from>
    <xdr:to>
      <xdr:col>20</xdr:col>
      <xdr:colOff>12700</xdr:colOff>
      <xdr:row>33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ABB1731-7268-47F9-AFBE-DB5145D96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101600</xdr:colOff>
      <xdr:row>4</xdr:row>
      <xdr:rowOff>63500</xdr:rowOff>
    </xdr:from>
    <xdr:to>
      <xdr:col>24</xdr:col>
      <xdr:colOff>387350</xdr:colOff>
      <xdr:row>5</xdr:row>
      <xdr:rowOff>342900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F5D59FD-3400-21BC-17CA-195CF3814F27}"/>
            </a:ext>
          </a:extLst>
        </xdr:cNvPr>
        <xdr:cNvSpPr txBox="1"/>
      </xdr:nvSpPr>
      <xdr:spPr>
        <a:xfrm>
          <a:off x="14128750" y="800100"/>
          <a:ext cx="2667000" cy="463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Top 5 Performing</a:t>
          </a:r>
          <a:r>
            <a:rPr lang="en-US" sz="1400" b="1" baseline="0"/>
            <a:t> Products</a:t>
          </a:r>
          <a:endParaRPr lang="en-US" sz="1400" b="1"/>
        </a:p>
      </xdr:txBody>
    </xdr:sp>
    <xdr:clientData/>
  </xdr:twoCellAnchor>
  <xdr:twoCellAnchor>
    <xdr:from>
      <xdr:col>21</xdr:col>
      <xdr:colOff>158750</xdr:colOff>
      <xdr:row>14</xdr:row>
      <xdr:rowOff>50800</xdr:rowOff>
    </xdr:from>
    <xdr:to>
      <xdr:col>24</xdr:col>
      <xdr:colOff>317500</xdr:colOff>
      <xdr:row>15</xdr:row>
      <xdr:rowOff>133350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0641899-444F-13D0-726A-0D52E9CF48AD}"/>
            </a:ext>
          </a:extLst>
        </xdr:cNvPr>
        <xdr:cNvSpPr txBox="1"/>
      </xdr:nvSpPr>
      <xdr:spPr>
        <a:xfrm>
          <a:off x="14185900" y="2838450"/>
          <a:ext cx="25400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Bottom 5 Performing Products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E12D6-5445-4614-AAC5-18104A5FF14B}" name="Data" displayName="Data" ref="A1:J4266" totalsRowShown="0" headerRowDxfId="4">
  <autoFilter ref="A1:J4266" xr:uid="{730E12D6-5445-4614-AAC5-18104A5FF14B}"/>
  <tableColumns count="10">
    <tableColumn id="1" xr3:uid="{5CEFD34E-A6AA-4674-968F-BF33FFED9A06}" name="Year"/>
    <tableColumn id="2" xr3:uid="{D3E8F753-01DC-4012-8FBC-FF47B5F2E8AD}" name="Month"/>
    <tableColumn id="3" xr3:uid="{98782F66-A466-4C44-82BF-820FBF0CFC17}" name="Store Name"/>
    <tableColumn id="4" xr3:uid="{22C132D8-7081-44FC-AED8-337657661A41}" name="Region"/>
    <tableColumn id="5" xr3:uid="{A4746DB0-4DB7-4395-B2C4-A57CCA9F9108}" name="Store Type"/>
    <tableColumn id="6" xr3:uid="{4F946B4B-C196-4404-8A09-152ACD1F9465}" name="Product Name"/>
    <tableColumn id="7" xr3:uid="{B1EF9D40-D3AA-4B73-BA0A-ADEE275EA0B0}" name="Product Category"/>
    <tableColumn id="8" xr3:uid="{DBA92875-C70A-45AF-8594-B7771E30B658}" name="Units Sold"/>
    <tableColumn id="9" xr3:uid="{DB4E6B21-3614-4584-8379-5BF10894E081}" name="Revenue" dataDxfId="3"/>
    <tableColumn id="10" xr3:uid="{FA6EDF6D-F11A-4A3D-8853-978BF283DA11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F2" sqref="F2:F4266"/>
    </sheetView>
  </sheetViews>
  <sheetFormatPr defaultRowHeight="14.5" x14ac:dyDescent="0.35"/>
  <cols>
    <col min="1" max="1" width="7.08984375" customWidth="1"/>
    <col min="2" max="2" width="9.08984375" customWidth="1"/>
    <col min="3" max="3" width="14.36328125" customWidth="1"/>
    <col min="4" max="4" width="15" customWidth="1"/>
    <col min="5" max="5" width="16.36328125" customWidth="1"/>
    <col min="6" max="6" width="20.453125" bestFit="1" customWidth="1"/>
    <col min="7" max="7" width="18.90625" customWidth="1"/>
    <col min="8" max="8" width="12.08984375" customWidth="1"/>
    <col min="9" max="9" width="11" customWidth="1"/>
    <col min="12" max="13" width="11.453125" bestFit="1" customWidth="1"/>
    <col min="16" max="16" width="15.453125" bestFit="1" customWidth="1"/>
    <col min="18" max="18" width="18.36328125" bestFit="1" customWidth="1"/>
    <col min="27" max="27" width="14.36328125" customWidth="1"/>
    <col min="28" max="28" width="11.453125" customWidth="1"/>
    <col min="32" max="33" width="14.36328125" customWidth="1"/>
    <col min="34" max="34" width="11.453125" customWidth="1"/>
    <col min="37" max="37" width="12.36328125" bestFit="1" customWidth="1"/>
    <col min="38" max="38" width="17.6328125" bestFit="1" customWidth="1"/>
    <col min="48" max="49" width="14.36328125" customWidth="1"/>
    <col min="50" max="50" width="17.453125" bestFit="1" customWidth="1"/>
    <col min="51" max="51" width="11.453125" customWidth="1"/>
  </cols>
  <sheetData>
    <row r="1" spans="1:51" x14ac:dyDescent="0.3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4054.4700000000003</v>
      </c>
    </row>
    <row r="4" spans="1:51" x14ac:dyDescent="0.3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1991.3899999999999</v>
      </c>
    </row>
    <row r="5" spans="1:51" x14ac:dyDescent="0.3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2558.38</v>
      </c>
    </row>
    <row r="6" spans="1:51" x14ac:dyDescent="0.3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1777.49</v>
      </c>
    </row>
    <row r="7" spans="1:51" x14ac:dyDescent="0.3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4454.5899999999992</v>
      </c>
    </row>
    <row r="8" spans="1:51" x14ac:dyDescent="0.3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3190.53</v>
      </c>
    </row>
    <row r="14" spans="1:51" x14ac:dyDescent="0.3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2685.67</v>
      </c>
    </row>
    <row r="15" spans="1:51" x14ac:dyDescent="0.3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2337.73</v>
      </c>
    </row>
    <row r="16" spans="1:51" x14ac:dyDescent="0.3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1368.05</v>
      </c>
    </row>
    <row r="17" spans="1:51" x14ac:dyDescent="0.3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3312.5699999999997</v>
      </c>
    </row>
    <row r="18" spans="1:51" x14ac:dyDescent="0.3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15007.820000000002</v>
      </c>
    </row>
    <row r="24" spans="1:51" x14ac:dyDescent="0.3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3027.2099999999996</v>
      </c>
    </row>
    <row r="25" spans="1:51" x14ac:dyDescent="0.3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2835.35</v>
      </c>
    </row>
    <row r="26" spans="1:51" x14ac:dyDescent="0.3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4043.84</v>
      </c>
    </row>
    <row r="27" spans="1:51" x14ac:dyDescent="0.3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7137.8899999999994</v>
      </c>
    </row>
    <row r="28" spans="1:51" x14ac:dyDescent="0.3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51F-4DAA-4E7A-A73B-37FA2C3AEDF1}">
  <dimension ref="A1:AE36"/>
  <sheetViews>
    <sheetView workbookViewId="0">
      <selection activeCell="S3" sqref="S3:S12"/>
    </sheetView>
  </sheetViews>
  <sheetFormatPr defaultRowHeight="14.5" x14ac:dyDescent="0.35"/>
  <cols>
    <col min="1" max="1" width="14.26953125" bestFit="1" customWidth="1"/>
    <col min="2" max="2" width="10.453125" bestFit="1" customWidth="1"/>
    <col min="4" max="4" width="14" customWidth="1"/>
    <col min="7" max="7" width="13.453125" bestFit="1" customWidth="1"/>
    <col min="8" max="8" width="13.453125" customWidth="1"/>
    <col min="12" max="12" width="12" bestFit="1" customWidth="1"/>
    <col min="13" max="13" width="10.453125" bestFit="1" customWidth="1"/>
    <col min="15" max="15" width="11.26953125" bestFit="1" customWidth="1"/>
    <col min="16" max="16" width="14" bestFit="1" customWidth="1"/>
    <col min="19" max="19" width="9.26953125" bestFit="1" customWidth="1"/>
    <col min="21" max="21" width="15.453125" bestFit="1" customWidth="1"/>
    <col min="23" max="23" width="11.26953125" bestFit="1" customWidth="1"/>
    <col min="24" max="24" width="12" bestFit="1" customWidth="1"/>
    <col min="28" max="28" width="5" bestFit="1" customWidth="1"/>
    <col min="29" max="29" width="14.81640625" bestFit="1" customWidth="1"/>
    <col min="30" max="30" width="8" bestFit="1" customWidth="1"/>
    <col min="31" max="31" width="12" bestFit="1" customWidth="1"/>
  </cols>
  <sheetData>
    <row r="1" spans="1:31" x14ac:dyDescent="0.35">
      <c r="A1" s="7" t="s">
        <v>52</v>
      </c>
      <c r="B1" s="7" t="s">
        <v>75</v>
      </c>
      <c r="D1" s="20" t="s">
        <v>81</v>
      </c>
      <c r="E1" s="20"/>
      <c r="G1" s="20" t="s">
        <v>88</v>
      </c>
      <c r="H1" s="20"/>
      <c r="I1" s="20"/>
      <c r="J1" s="20"/>
      <c r="L1" s="20" t="s">
        <v>102</v>
      </c>
      <c r="M1" s="20"/>
      <c r="N1" s="20"/>
      <c r="O1" s="20"/>
      <c r="P1" s="20"/>
      <c r="Q1" s="20"/>
      <c r="R1" s="13"/>
      <c r="S1" s="13"/>
      <c r="U1" s="20" t="s">
        <v>105</v>
      </c>
      <c r="V1" s="20"/>
      <c r="W1" s="20"/>
      <c r="X1" s="20"/>
      <c r="AB1" s="21" t="s">
        <v>110</v>
      </c>
      <c r="AC1" s="21"/>
      <c r="AD1" s="21"/>
      <c r="AE1" s="21"/>
    </row>
    <row r="2" spans="1:31" x14ac:dyDescent="0.35">
      <c r="A2" t="s">
        <v>4</v>
      </c>
      <c r="B2" t="str">
        <f>Dashboard!C6</f>
        <v>Los Angeles</v>
      </c>
      <c r="D2" s="6" t="s">
        <v>82</v>
      </c>
      <c r="E2" s="9">
        <f>SUMIFS(Data[Revenue],Data[Region],Region,Data[Month],CurMonth,Data[Year],CurYear)</f>
        <v>59782.98000000001</v>
      </c>
      <c r="G2" s="7" t="s">
        <v>101</v>
      </c>
      <c r="H2" s="7" t="s">
        <v>49</v>
      </c>
      <c r="I2" s="7">
        <f>PrevYear</f>
        <v>2020</v>
      </c>
      <c r="J2" s="7">
        <f>CurYear</f>
        <v>2021</v>
      </c>
      <c r="L2" s="7" t="s">
        <v>103</v>
      </c>
      <c r="M2" s="7" t="s">
        <v>52</v>
      </c>
      <c r="N2" s="7" t="s">
        <v>46</v>
      </c>
      <c r="O2" s="7" t="s">
        <v>84</v>
      </c>
      <c r="P2" s="7" t="s">
        <v>87</v>
      </c>
      <c r="Q2" s="7" t="s">
        <v>104</v>
      </c>
      <c r="R2" s="7" t="s">
        <v>75</v>
      </c>
      <c r="S2" s="7" t="s">
        <v>75</v>
      </c>
      <c r="U2" s="7" t="s">
        <v>106</v>
      </c>
      <c r="V2" s="7" t="s">
        <v>46</v>
      </c>
      <c r="W2" s="7" t="s">
        <v>84</v>
      </c>
      <c r="X2" s="7" t="s">
        <v>107</v>
      </c>
      <c r="Y2" s="7" t="s">
        <v>108</v>
      </c>
      <c r="Z2" s="7" t="s">
        <v>109</v>
      </c>
      <c r="AB2" s="7" t="s">
        <v>104</v>
      </c>
      <c r="AC2" s="7" t="s">
        <v>106</v>
      </c>
      <c r="AD2" s="7" t="s">
        <v>46</v>
      </c>
      <c r="AE2" s="7" t="s">
        <v>107</v>
      </c>
    </row>
    <row r="3" spans="1:31" x14ac:dyDescent="0.35">
      <c r="A3" t="s">
        <v>5</v>
      </c>
      <c r="D3" s="6" t="s">
        <v>83</v>
      </c>
      <c r="E3" s="9">
        <f>SUMIFS(Data[Revenue],Data[Region],Region,Data[Month],CurMonth,Data[Year],PrevYear)</f>
        <v>44643.76</v>
      </c>
      <c r="G3">
        <v>1</v>
      </c>
      <c r="H3" t="s">
        <v>89</v>
      </c>
      <c r="I3" s="12">
        <f>SUMIFS(Data[[Revenue]:[Revenue]],Data[[Region]:[Region]],Region,Data[[Month]:[Month]],'Data Prep'!$G3,Data[[Year]:[Year]],'Data Prep'!I$2)</f>
        <v>37135.47</v>
      </c>
      <c r="J3" s="12">
        <f>IF(G3&gt;CurMonth,NA(),SUMIFS(Data[[Revenue]:[Revenue]],Data[[Region]:[Region]],Region,Data[[Month]:[Month]],'Data Prep'!$G3,Data[[Year]:[Year]],'Data Prep'!J$2))</f>
        <v>51959.660000000011</v>
      </c>
      <c r="L3" t="s">
        <v>59</v>
      </c>
      <c r="M3" t="str">
        <f>VLOOKUP(L3,Data[[Store Name]:[Region]],2,0)</f>
        <v>Los Angeles</v>
      </c>
      <c r="N3" s="12">
        <f>SUMIFS(Data[Revenue],Data[Store Name],L3,Data[Month],CurMonth,Data[Year],CurYear)</f>
        <v>12894.550000000001</v>
      </c>
      <c r="O3" s="12">
        <f>SUMIFS(Data[Revenue],Data[Store Name],L3,Data[Month],PrevMonth,Data[Year],PMYear)</f>
        <v>9291.49</v>
      </c>
      <c r="P3" s="8">
        <f t="shared" ref="P3:P12" si="0">N3/O3-1</f>
        <v>0.38778064659166622</v>
      </c>
      <c r="Q3">
        <f t="shared" ref="Q3:Q12" si="1">_xlfn.RANK.AVG(N3,$N$3:$N$12,1)</f>
        <v>1</v>
      </c>
      <c r="R3" s="12">
        <f t="shared" ref="R3:R12" si="2">IF($M3=Region,N3,0)</f>
        <v>12894.550000000001</v>
      </c>
      <c r="S3" s="18">
        <f t="shared" ref="S3:S12" si="3">IF($M3=Region,P3,0)</f>
        <v>0.38778064659166622</v>
      </c>
      <c r="U3" t="s">
        <v>13</v>
      </c>
      <c r="V3" s="12">
        <f>SUMIFS(Data[Revenue],Data[Region],Region,Data[Month],CurMonth,Data[Year],CurYear,Data[Product Name],'Data Prep'!U3)</f>
        <v>1630.98</v>
      </c>
      <c r="W3" s="12">
        <f>SUMIFS(Data[Revenue],Data[Region],Region,Data[Month],PrevMonth,Data[Year],PMYear,Data[Product Name],'Data Prep'!U3)</f>
        <v>3517.8</v>
      </c>
      <c r="X3" s="2">
        <f>V3-W3</f>
        <v>-1886.8200000000002</v>
      </c>
      <c r="Y3">
        <f>_xlfn.RANK.AVG(X3,$X$3:$X$36,0)</f>
        <v>34</v>
      </c>
      <c r="Z3">
        <f>_xlfn.RANK.AVG(X3,$X$3:$X$36,1)</f>
        <v>1</v>
      </c>
      <c r="AB3">
        <v>1</v>
      </c>
      <c r="AC3" t="str">
        <f>INDEX($U$3:$X$36,MATCH($AB$3,$Y$3:$Y$36,0),MATCH($AC$2,$U$2:$X$2,0))</f>
        <v>Etch A Sketch</v>
      </c>
      <c r="AD3" s="2">
        <f>INDEX($U$3:$X$36,MATCH($AB$3,$Y$3:$Y$36,0),MATCH($AD$2,$U$2:$X$2,0))</f>
        <v>3442.3599999999997</v>
      </c>
      <c r="AE3" s="2">
        <f>INDEX($U$3:$X$36,MATCH($AB$3,$Y$3:$Y$36,0),MATCH($AE$2,$U$2:$X$2,0))</f>
        <v>2938.6</v>
      </c>
    </row>
    <row r="4" spans="1:31" x14ac:dyDescent="0.35">
      <c r="A4" t="s">
        <v>48</v>
      </c>
      <c r="D4" s="6" t="s">
        <v>84</v>
      </c>
      <c r="E4" s="9">
        <f>SUMIFS(Data[Revenue], Data[Region],Region,Data[Month],PrevMonth,Data[Year],IF(CurMonth=1,PrevMonth,CurYear))</f>
        <v>46196.220000000008</v>
      </c>
      <c r="G4">
        <v>2</v>
      </c>
      <c r="H4" t="s">
        <v>90</v>
      </c>
      <c r="I4" s="12">
        <f>SUMIFS(Data[[Revenue]:[Revenue]],Data[[Region]:[Region]],Region,Data[[Month]:[Month]],'Data Prep'!$G4,Data[[Year]:[Year]],'Data Prep'!I$2)</f>
        <v>31324.390000000007</v>
      </c>
      <c r="J4" s="12">
        <f>IF(G4&gt;CurMonth,NA(),SUMIFS(Data[[Revenue]:[Revenue]],Data[[Region]:[Region]],Region,Data[[Month]:[Month]],'Data Prep'!$G4,Data[[Year]:[Year]],'Data Prep'!J$2))</f>
        <v>53726.850000000006</v>
      </c>
      <c r="L4" t="s">
        <v>56</v>
      </c>
      <c r="M4" t="str">
        <f>VLOOKUP(L4,Data[[Store Name]:[Region]],2,0)</f>
        <v>Los Angeles</v>
      </c>
      <c r="N4" s="12">
        <f>SUMIFS(Data[Revenue],Data[Store Name],L4,Data[Month],CurMonth,Data[Year],CurYear)</f>
        <v>14836.320000000002</v>
      </c>
      <c r="O4" s="12">
        <f>SUMIFS(Data[Revenue],Data[Store Name],L4,Data[Month],PrevMonth,Data[Year],PMYear)</f>
        <v>11676.369999999999</v>
      </c>
      <c r="P4" s="8">
        <f t="shared" si="0"/>
        <v>0.27062777215864209</v>
      </c>
      <c r="Q4">
        <f t="shared" si="1"/>
        <v>2</v>
      </c>
      <c r="R4" s="12">
        <f t="shared" si="2"/>
        <v>14836.320000000002</v>
      </c>
      <c r="S4" s="18">
        <f t="shared" si="3"/>
        <v>0.27062777215864209</v>
      </c>
      <c r="U4" t="s">
        <v>24</v>
      </c>
      <c r="V4" s="12">
        <f>SUMIFS(Data[Revenue],Data[Region],Region,Data[Month],CurMonth,Data[Year],CurYear,Data[Product Name],'Data Prep'!U4)</f>
        <v>2403.1499999999996</v>
      </c>
      <c r="W4" s="12">
        <f>SUMIFS(Data[Revenue],Data[Region],Region,Data[Month],PrevMonth,Data[Year],PMYear,Data[Product Name],'Data Prep'!U4)</f>
        <v>1337.97</v>
      </c>
      <c r="X4" s="2">
        <f t="shared" ref="X4:X36" si="4">V4-W4</f>
        <v>1065.1799999999996</v>
      </c>
      <c r="Y4">
        <f t="shared" ref="Y4:Y36" si="5">_xlfn.RANK.AVG(X4,$X$3:$X$36,0)</f>
        <v>9</v>
      </c>
      <c r="Z4">
        <f t="shared" ref="Z4:Z36" si="6">_xlfn.RANK.AVG(X4,$X$3:$X$36,1)</f>
        <v>26</v>
      </c>
      <c r="AB4">
        <v>2</v>
      </c>
      <c r="AC4" t="str">
        <f>INDEX($U$3:$X$36,MATCH($AB$4,$Y$3:$Y$36,0),MATCH($AC$2,$U$2:$X$2,0))</f>
        <v>Rubik's Cube</v>
      </c>
      <c r="AD4" s="2">
        <f>INDEX($U$3:$X$36,MATCH($AB$4,$Y$3:$Y$36,0),MATCH($AD$2,$U$2:$X$2,0))</f>
        <v>5037.4799999999996</v>
      </c>
      <c r="AE4" s="2">
        <f>INDEX($U$3:$X$36,MATCH($AB$4,$Y$3:$Y$36,0),MATCH($AE$2,$U$2:$X$2,0))</f>
        <v>2798.5999999999995</v>
      </c>
    </row>
    <row r="5" spans="1:31" x14ac:dyDescent="0.35">
      <c r="D5" s="6" t="s">
        <v>86</v>
      </c>
      <c r="E5" s="10">
        <f>E2/E3-1</f>
        <v>0.33911166980559004</v>
      </c>
      <c r="G5">
        <v>3</v>
      </c>
      <c r="H5" t="s">
        <v>91</v>
      </c>
      <c r="I5" s="12">
        <f>SUMIFS(Data[[Revenue]:[Revenue]],Data[[Region]:[Region]],Region,Data[[Month]:[Month]],'Data Prep'!$G5,Data[[Year]:[Year]],'Data Prep'!I$2)</f>
        <v>38310.149999999987</v>
      </c>
      <c r="J5" s="12">
        <f>IF(G5&gt;CurMonth,NA(),SUMIFS(Data[[Revenue]:[Revenue]],Data[[Region]:[Region]],Region,Data[[Month]:[Month]],'Data Prep'!$G5,Data[[Year]:[Year]],'Data Prep'!J$2))</f>
        <v>53604.229999999989</v>
      </c>
      <c r="L5" t="s">
        <v>54</v>
      </c>
      <c r="M5" t="str">
        <f>VLOOKUP(L5,Data[[Store Name]:[Region]],2,0)</f>
        <v>Chicago</v>
      </c>
      <c r="N5" s="12">
        <f>SUMIFS(Data[Revenue],Data[Store Name],L5,Data[Month],CurMonth,Data[Year],CurYear)</f>
        <v>16131.78</v>
      </c>
      <c r="O5" s="12">
        <f>SUMIFS(Data[Revenue],Data[Store Name],L5,Data[Month],PrevMonth,Data[Year],PMYear)</f>
        <v>19646.239999999998</v>
      </c>
      <c r="P5" s="8">
        <f t="shared" si="0"/>
        <v>-0.1788871560156039</v>
      </c>
      <c r="Q5">
        <f t="shared" si="1"/>
        <v>3</v>
      </c>
      <c r="R5" s="12">
        <f t="shared" si="2"/>
        <v>0</v>
      </c>
      <c r="S5" s="18">
        <f t="shared" si="3"/>
        <v>0</v>
      </c>
      <c r="U5" t="s">
        <v>18</v>
      </c>
      <c r="V5" s="12">
        <f>SUMIFS(Data[Revenue],Data[Region],Region,Data[Month],CurMonth,Data[Year],CurYear,Data[Product Name],'Data Prep'!U5)</f>
        <v>116.91</v>
      </c>
      <c r="W5" s="12">
        <f>SUMIFS(Data[Revenue],Data[Region],Region,Data[Month],PrevMonth,Data[Year],PMYear,Data[Product Name],'Data Prep'!U5)</f>
        <v>0</v>
      </c>
      <c r="X5" s="2">
        <f t="shared" si="4"/>
        <v>116.91</v>
      </c>
      <c r="Y5">
        <f t="shared" si="5"/>
        <v>19</v>
      </c>
      <c r="Z5">
        <f t="shared" si="6"/>
        <v>16</v>
      </c>
      <c r="AB5">
        <v>3</v>
      </c>
      <c r="AC5" t="str">
        <f>INDEX($U$3:$X$36,MATCH($AB$5,$Y$3:$Y$36,0),MATCH($AC$2,$U$2:$X$2,0))</f>
        <v>Colorbuds</v>
      </c>
      <c r="AD5" s="2">
        <f>INDEX($U$3:$X$36,MATCH($AB$5,$Y$3:$Y$36,0),MATCH($AD$2,$U$2:$X$2,0))</f>
        <v>5291.47</v>
      </c>
      <c r="AE5" s="2">
        <f>INDEX($U$3:$X$36,MATCH($AB$5,$Y$3:$Y$36,0),MATCH($AE$2,$U$2:$X$2,0))</f>
        <v>2248.5000000000005</v>
      </c>
    </row>
    <row r="6" spans="1:31" x14ac:dyDescent="0.35">
      <c r="A6" s="6" t="s">
        <v>76</v>
      </c>
      <c r="D6" s="6" t="s">
        <v>87</v>
      </c>
      <c r="E6" s="10">
        <f>E2/E4-1</f>
        <v>0.29410977781298997</v>
      </c>
      <c r="G6">
        <v>4</v>
      </c>
      <c r="H6" t="s">
        <v>92</v>
      </c>
      <c r="I6" s="12">
        <f>SUMIFS(Data[[Revenue]:[Revenue]],Data[[Region]:[Region]],Region,Data[[Month]:[Month]],'Data Prep'!$G6,Data[[Year]:[Year]],'Data Prep'!I$2)</f>
        <v>43124.819999999992</v>
      </c>
      <c r="J6" s="12">
        <f>IF(G6&gt;CurMonth,NA(),SUMIFS(Data[[Revenue]:[Revenue]],Data[[Region]:[Region]],Region,Data[[Month]:[Month]],'Data Prep'!$G6,Data[[Year]:[Year]],'Data Prep'!J$2))</f>
        <v>50597.080000000009</v>
      </c>
      <c r="L6" t="s">
        <v>55</v>
      </c>
      <c r="M6" t="str">
        <f>VLOOKUP(L6,Data[[Store Name]:[Region]],2,0)</f>
        <v>Chicago</v>
      </c>
      <c r="N6" s="12">
        <f>SUMIFS(Data[Revenue],Data[Store Name],L6,Data[Month],CurMonth,Data[Year],CurYear)</f>
        <v>20890.14</v>
      </c>
      <c r="O6" s="12">
        <f>SUMIFS(Data[Revenue],Data[Store Name],L6,Data[Month],PrevMonth,Data[Year],PMYear)</f>
        <v>24100.490000000009</v>
      </c>
      <c r="P6" s="8">
        <f t="shared" si="0"/>
        <v>-0.13320683521372423</v>
      </c>
      <c r="Q6">
        <f t="shared" si="1"/>
        <v>4</v>
      </c>
      <c r="R6" s="12">
        <f t="shared" si="2"/>
        <v>0</v>
      </c>
      <c r="S6" s="18">
        <f t="shared" si="3"/>
        <v>0</v>
      </c>
      <c r="U6" t="s">
        <v>30</v>
      </c>
      <c r="V6" s="12">
        <f>SUMIFS(Data[Revenue],Data[Region],Region,Data[Month],CurMonth,Data[Year],CurYear,Data[Product Name],'Data Prep'!U6)</f>
        <v>0</v>
      </c>
      <c r="W6" s="12">
        <f>SUMIFS(Data[Revenue],Data[Region],Region,Data[Month],PrevMonth,Data[Year],PMYear,Data[Product Name],'Data Prep'!U6)</f>
        <v>229.77</v>
      </c>
      <c r="X6" s="2">
        <f t="shared" si="4"/>
        <v>-229.77</v>
      </c>
      <c r="Y6">
        <f t="shared" si="5"/>
        <v>28</v>
      </c>
      <c r="Z6">
        <f t="shared" si="6"/>
        <v>7</v>
      </c>
      <c r="AB6">
        <v>4</v>
      </c>
      <c r="AC6" t="str">
        <f>INDEX($U$3:$X$36,MATCH($AB$6,$Y$3:$Y$36,0),MATCH($AC$2,$U$2:$X$2,0))</f>
        <v>Kids Makeup Kit</v>
      </c>
      <c r="AD6" s="2">
        <f>INDEX($U$3:$X$36,MATCH($AB$6,$Y$3:$Y$36,0),MATCH($AD$2,$U$2:$X$2,0))</f>
        <v>2878.5599999999995</v>
      </c>
      <c r="AE6" s="2">
        <f>INDEX($U$3:$X$36,MATCH($AB$6,$Y$3:$Y$36,0),MATCH($AE$2,$U$2:$X$2,0))</f>
        <v>1579.2099999999996</v>
      </c>
    </row>
    <row r="7" spans="1:31" x14ac:dyDescent="0.35">
      <c r="A7" s="6" t="s">
        <v>77</v>
      </c>
      <c r="B7" s="11">
        <f>MAX(Data[Year])</f>
        <v>2021</v>
      </c>
      <c r="G7">
        <v>5</v>
      </c>
      <c r="H7" t="s">
        <v>93</v>
      </c>
      <c r="I7" s="12">
        <f>SUMIFS(Data[[Revenue]:[Revenue]],Data[[Region]:[Region]],Region,Data[[Month]:[Month]],'Data Prep'!$G7,Data[[Year]:[Year]],'Data Prep'!I$2)</f>
        <v>48602.219999999994</v>
      </c>
      <c r="J7" s="12">
        <f>IF(G7&gt;CurMonth,NA(),SUMIFS(Data[[Revenue]:[Revenue]],Data[[Region]:[Region]],Region,Data[[Month]:[Month]],'Data Prep'!$G7,Data[[Year]:[Year]],'Data Prep'!J$2))</f>
        <v>66944.169999999984</v>
      </c>
      <c r="L7" t="s">
        <v>53</v>
      </c>
      <c r="M7" t="str">
        <f>VLOOKUP(L7,Data[[Store Name]:[Region]],2,0)</f>
        <v>Chicago</v>
      </c>
      <c r="N7" s="12">
        <f>SUMIFS(Data[Revenue],Data[Store Name],L7,Data[Month],CurMonth,Data[Year],CurYear)</f>
        <v>21829.790000000008</v>
      </c>
      <c r="O7" s="12">
        <f>SUMIFS(Data[Revenue],Data[Store Name],L7,Data[Month],PrevMonth,Data[Year],PMYear)</f>
        <v>17645.59</v>
      </c>
      <c r="P7" s="8">
        <f t="shared" si="0"/>
        <v>0.23712440332117013</v>
      </c>
      <c r="Q7">
        <f t="shared" si="1"/>
        <v>5</v>
      </c>
      <c r="R7" s="12">
        <f t="shared" si="2"/>
        <v>0</v>
      </c>
      <c r="S7" s="18">
        <f t="shared" si="3"/>
        <v>0</v>
      </c>
      <c r="U7" t="s">
        <v>20</v>
      </c>
      <c r="V7" s="12">
        <f>SUMIFS(Data[Revenue],Data[Region],Region,Data[Month],CurMonth,Data[Year],CurYear,Data[Product Name],'Data Prep'!U7)</f>
        <v>5291.47</v>
      </c>
      <c r="W7" s="12">
        <f>SUMIFS(Data[Revenue],Data[Region],Region,Data[Month],PrevMonth,Data[Year],PMYear,Data[Product Name],'Data Prep'!U7)</f>
        <v>3042.97</v>
      </c>
      <c r="X7" s="2">
        <f t="shared" si="4"/>
        <v>2248.5000000000005</v>
      </c>
      <c r="Y7">
        <f t="shared" si="5"/>
        <v>3</v>
      </c>
      <c r="Z7">
        <f t="shared" si="6"/>
        <v>32</v>
      </c>
      <c r="AB7">
        <v>5</v>
      </c>
      <c r="AC7" t="str">
        <f>INDEX($U$3:$X$36,MATCH($AB$7,$Y$3:$Y$36,0),MATCH($AC$2,$U$2:$X$2,0))</f>
        <v>Nerf Gun</v>
      </c>
      <c r="AD7" s="2">
        <f>INDEX($U$3:$X$36,MATCH($AB$7,$Y$3:$Y$36,0),MATCH($AD$2,$U$2:$X$2,0))</f>
        <v>2338.83</v>
      </c>
      <c r="AE7" s="2">
        <f>INDEX($U$3:$X$36,MATCH($AB$7,$Y$3:$Y$36,0),MATCH($AE$2,$U$2:$X$2,0))</f>
        <v>1339.33</v>
      </c>
    </row>
    <row r="8" spans="1:31" x14ac:dyDescent="0.35">
      <c r="A8" s="6" t="s">
        <v>78</v>
      </c>
      <c r="B8" s="11">
        <f>_xlfn.MAXIFS(Data[Month],Data[Year],'Data Prep'!B7)</f>
        <v>7</v>
      </c>
      <c r="G8">
        <v>6</v>
      </c>
      <c r="H8" t="s">
        <v>94</v>
      </c>
      <c r="I8" s="12">
        <f>SUMIFS(Data[[Revenue]:[Revenue]],Data[[Region]:[Region]],Region,Data[[Month]:[Month]],'Data Prep'!$G8,Data[[Year]:[Year]],'Data Prep'!I$2)</f>
        <v>42487.139999999992</v>
      </c>
      <c r="J8" s="12">
        <f>IF(G8&gt;CurMonth,NA(),SUMIFS(Data[[Revenue]:[Revenue]],Data[[Region]:[Region]],Region,Data[[Month]:[Month]],'Data Prep'!$G8,Data[[Year]:[Year]],'Data Prep'!J$2))</f>
        <v>46196.220000000008</v>
      </c>
      <c r="L8" t="s">
        <v>58</v>
      </c>
      <c r="M8" t="str">
        <f>VLOOKUP(L8,Data[[Store Name]:[Region]],2,0)</f>
        <v>New York</v>
      </c>
      <c r="N8" s="12">
        <f>SUMIFS(Data[Revenue],Data[Store Name],L8,Data[Month],CurMonth,Data[Year],CurYear)</f>
        <v>22152.709999999995</v>
      </c>
      <c r="O8" s="12">
        <f>SUMIFS(Data[Revenue],Data[Store Name],L8,Data[Month],PrevMonth,Data[Year],PMYear)</f>
        <v>19305.510000000002</v>
      </c>
      <c r="P8" s="8">
        <f t="shared" si="0"/>
        <v>0.1474812113225703</v>
      </c>
      <c r="Q8">
        <f t="shared" si="1"/>
        <v>6</v>
      </c>
      <c r="R8" s="12">
        <f t="shared" si="2"/>
        <v>0</v>
      </c>
      <c r="S8" s="18">
        <f t="shared" si="3"/>
        <v>0</v>
      </c>
      <c r="U8" t="s">
        <v>25</v>
      </c>
      <c r="V8" s="12">
        <f>SUMIFS(Data[Revenue],Data[Region],Region,Data[Month],CurMonth,Data[Year],CurYear,Data[Product Name],'Data Prep'!U8)</f>
        <v>1295.19</v>
      </c>
      <c r="W8" s="12">
        <f>SUMIFS(Data[Revenue],Data[Region],Region,Data[Month],PrevMonth,Data[Year],PMYear,Data[Product Name],'Data Prep'!U8)</f>
        <v>655.58999999999992</v>
      </c>
      <c r="X8" s="2">
        <f t="shared" si="4"/>
        <v>639.60000000000014</v>
      </c>
      <c r="Y8">
        <f t="shared" si="5"/>
        <v>12</v>
      </c>
      <c r="Z8">
        <f t="shared" si="6"/>
        <v>23</v>
      </c>
    </row>
    <row r="9" spans="1:31" x14ac:dyDescent="0.35">
      <c r="A9" s="6" t="s">
        <v>79</v>
      </c>
      <c r="B9" s="11">
        <f>B7-1</f>
        <v>2020</v>
      </c>
      <c r="G9">
        <v>7</v>
      </c>
      <c r="H9" t="s">
        <v>95</v>
      </c>
      <c r="I9" s="12">
        <f>SUMIFS(Data[[Revenue]:[Revenue]],Data[[Region]:[Region]],Region,Data[[Month]:[Month]],'Data Prep'!$G9,Data[[Year]:[Year]],'Data Prep'!I$2)</f>
        <v>44643.76</v>
      </c>
      <c r="J9" s="12">
        <f>IF(G9&gt;CurMonth,NA(),SUMIFS(Data[[Revenue]:[Revenue]],Data[[Region]:[Region]],Region,Data[[Month]:[Month]],'Data Prep'!$G9,Data[[Year]:[Year]],'Data Prep'!J$2))</f>
        <v>59782.98000000001</v>
      </c>
      <c r="L9" t="s">
        <v>62</v>
      </c>
      <c r="M9" t="str">
        <f>VLOOKUP(L9,Data[[Store Name]:[Region]],2,0)</f>
        <v>New York</v>
      </c>
      <c r="N9" s="12">
        <f>SUMIFS(Data[Revenue],Data[Store Name],L9,Data[Month],CurMonth,Data[Year],CurYear)</f>
        <v>22817.06</v>
      </c>
      <c r="O9" s="12">
        <f>SUMIFS(Data[Revenue],Data[Store Name],L9,Data[Month],PrevMonth,Data[Year],PMYear)</f>
        <v>20167.499999999996</v>
      </c>
      <c r="P9" s="8">
        <f t="shared" si="0"/>
        <v>0.13137771166480761</v>
      </c>
      <c r="Q9">
        <f t="shared" si="1"/>
        <v>7</v>
      </c>
      <c r="R9" s="12">
        <f t="shared" si="2"/>
        <v>0</v>
      </c>
      <c r="S9" s="18">
        <f t="shared" si="3"/>
        <v>0</v>
      </c>
      <c r="U9" t="s">
        <v>8</v>
      </c>
      <c r="V9" s="12">
        <f>SUMIFS(Data[Revenue],Data[Region],Region,Data[Month],CurMonth,Data[Year],CurYear,Data[Product Name],'Data Prep'!U9)</f>
        <v>1502.85</v>
      </c>
      <c r="W9" s="12">
        <f>SUMIFS(Data[Revenue],Data[Region],Region,Data[Month],PrevMonth,Data[Year],PMYear,Data[Product Name],'Data Prep'!U9)</f>
        <v>1209.27</v>
      </c>
      <c r="X9" s="2">
        <f t="shared" si="4"/>
        <v>293.57999999999993</v>
      </c>
      <c r="Y9">
        <f t="shared" si="5"/>
        <v>17</v>
      </c>
      <c r="Z9">
        <f t="shared" si="6"/>
        <v>18</v>
      </c>
    </row>
    <row r="10" spans="1:31" x14ac:dyDescent="0.35">
      <c r="A10" s="6" t="s">
        <v>80</v>
      </c>
      <c r="B10" s="11">
        <f>IF(B8=1,12,B8-1)</f>
        <v>6</v>
      </c>
      <c r="G10">
        <v>8</v>
      </c>
      <c r="H10" t="s">
        <v>96</v>
      </c>
      <c r="I10" s="12">
        <f>SUMIFS(Data[[Revenue]:[Revenue]],Data[[Region]:[Region]],Region,Data[[Month]:[Month]],'Data Prep'!$G10,Data[[Year]:[Year]],'Data Prep'!I$2)</f>
        <v>36202.770000000004</v>
      </c>
      <c r="J10" s="12" t="e">
        <f>IF(G10&gt;CurMonth,NA(),SUMIFS(Data[[Revenue]:[Revenue]],Data[[Region]:[Region]],Region,Data[[Month]:[Month]],'Data Prep'!$G10,Data[[Year]:[Year]],'Data Prep'!J$2))</f>
        <v>#N/A</v>
      </c>
      <c r="L10" t="s">
        <v>60</v>
      </c>
      <c r="M10" t="str">
        <f>VLOOKUP(L10,Data[[Store Name]:[Region]],2,0)</f>
        <v>New York</v>
      </c>
      <c r="N10" s="12">
        <f>SUMIFS(Data[Revenue],Data[Store Name],L10,Data[Month],CurMonth,Data[Year],CurYear)</f>
        <v>24068.03</v>
      </c>
      <c r="O10" s="12">
        <f>SUMIFS(Data[Revenue],Data[Store Name],L10,Data[Month],PrevMonth,Data[Year],PMYear)</f>
        <v>22176.43</v>
      </c>
      <c r="P10" s="8">
        <f t="shared" si="0"/>
        <v>8.5297768847375277E-2</v>
      </c>
      <c r="Q10">
        <f t="shared" si="1"/>
        <v>8</v>
      </c>
      <c r="R10" s="12">
        <f t="shared" si="2"/>
        <v>0</v>
      </c>
      <c r="S10" s="18">
        <f t="shared" si="3"/>
        <v>0</v>
      </c>
      <c r="U10" t="s">
        <v>17</v>
      </c>
      <c r="V10" s="12">
        <f>SUMIFS(Data[Revenue],Data[Region],Region,Data[Month],CurMonth,Data[Year],CurYear,Data[Product Name],'Data Prep'!U10)</f>
        <v>3868.48</v>
      </c>
      <c r="W10" s="12">
        <f>SUMIFS(Data[Revenue],Data[Region],Region,Data[Month],PrevMonth,Data[Year],PMYear,Data[Product Name],'Data Prep'!U10)</f>
        <v>2758.4900000000002</v>
      </c>
      <c r="X10" s="2">
        <f t="shared" si="4"/>
        <v>1109.9899999999998</v>
      </c>
      <c r="Y10">
        <f t="shared" si="5"/>
        <v>8</v>
      </c>
      <c r="Z10">
        <f t="shared" si="6"/>
        <v>27</v>
      </c>
      <c r="AB10" s="21" t="s">
        <v>110</v>
      </c>
      <c r="AC10" s="21"/>
      <c r="AD10" s="21"/>
      <c r="AE10" s="21"/>
    </row>
    <row r="11" spans="1:31" x14ac:dyDescent="0.35">
      <c r="A11" s="6" t="s">
        <v>85</v>
      </c>
      <c r="B11" s="11">
        <f>IF(CurMonth=1,PrevMonth,CurYear)</f>
        <v>2021</v>
      </c>
      <c r="G11">
        <v>9</v>
      </c>
      <c r="H11" t="s">
        <v>97</v>
      </c>
      <c r="I11" s="12">
        <f>SUMIFS(Data[[Revenue]:[Revenue]],Data[[Region]:[Region]],Region,Data[[Month]:[Month]],'Data Prep'!$G11,Data[[Year]:[Year]],'Data Prep'!I$2)</f>
        <v>34881.53</v>
      </c>
      <c r="J11" s="12" t="e">
        <f>IF(G11&gt;CurMonth,NA(),SUMIFS(Data[[Revenue]:[Revenue]],Data[[Region]:[Region]],Region,Data[[Month]:[Month]],'Data Prep'!$G11,Data[[Year]:[Year]],'Data Prep'!J$2))</f>
        <v>#N/A</v>
      </c>
      <c r="L11" t="s">
        <v>61</v>
      </c>
      <c r="M11" t="str">
        <f>VLOOKUP(L11,Data[[Store Name]:[Region]],2,0)</f>
        <v>Los Angeles</v>
      </c>
      <c r="N11" s="12">
        <f>SUMIFS(Data[Revenue],Data[Store Name],L11,Data[Month],CurMonth,Data[Year],CurYear)</f>
        <v>32052.109999999993</v>
      </c>
      <c r="O11" s="12">
        <f>SUMIFS(Data[Revenue],Data[Store Name],L11,Data[Month],PrevMonth,Data[Year],PMYear)</f>
        <v>25228.359999999997</v>
      </c>
      <c r="P11" s="8">
        <f t="shared" si="0"/>
        <v>0.27047933357538878</v>
      </c>
      <c r="Q11">
        <f t="shared" si="1"/>
        <v>9</v>
      </c>
      <c r="R11" s="12">
        <f t="shared" si="2"/>
        <v>32052.109999999993</v>
      </c>
      <c r="S11" s="18">
        <f t="shared" si="3"/>
        <v>0.27047933357538878</v>
      </c>
      <c r="U11" t="s">
        <v>28</v>
      </c>
      <c r="V11" s="12">
        <f>SUMIFS(Data[Revenue],Data[Region],Region,Data[Month],CurMonth,Data[Year],CurYear,Data[Product Name],'Data Prep'!U11)</f>
        <v>2623.25</v>
      </c>
      <c r="W11" s="12">
        <f>SUMIFS(Data[Revenue],Data[Region],Region,Data[Month],PrevMonth,Data[Year],PMYear,Data[Product Name],'Data Prep'!U11)</f>
        <v>1783.81</v>
      </c>
      <c r="X11" s="2">
        <f>V11-W11</f>
        <v>839.44</v>
      </c>
      <c r="Y11">
        <f t="shared" si="5"/>
        <v>10</v>
      </c>
      <c r="Z11">
        <f t="shared" si="6"/>
        <v>25</v>
      </c>
      <c r="AB11" s="7" t="s">
        <v>104</v>
      </c>
      <c r="AC11" s="7" t="s">
        <v>106</v>
      </c>
      <c r="AD11" s="7" t="s">
        <v>46</v>
      </c>
      <c r="AE11" s="7" t="s">
        <v>107</v>
      </c>
    </row>
    <row r="12" spans="1:31" x14ac:dyDescent="0.35">
      <c r="G12">
        <v>10</v>
      </c>
      <c r="H12" t="s">
        <v>98</v>
      </c>
      <c r="I12" s="12">
        <f>SUMIFS(Data[[Revenue]:[Revenue]],Data[[Region]:[Region]],Region,Data[[Month]:[Month]],'Data Prep'!$G12,Data[[Year]:[Year]],'Data Prep'!I$2)</f>
        <v>43505.939999999995</v>
      </c>
      <c r="J12" s="12" t="e">
        <f>IF(G12&gt;CurMonth,NA(),SUMIFS(Data[[Revenue]:[Revenue]],Data[[Region]:[Region]],Region,Data[[Month]:[Month]],'Data Prep'!$G12,Data[[Year]:[Year]],'Data Prep'!J$2))</f>
        <v>#N/A</v>
      </c>
      <c r="L12" t="s">
        <v>57</v>
      </c>
      <c r="M12" t="str">
        <f>VLOOKUP(L12,Data[[Store Name]:[Region]],2,0)</f>
        <v>Chicago</v>
      </c>
      <c r="N12" s="12">
        <f>SUMIFS(Data[Revenue],Data[Store Name],L12,Data[Month],CurMonth,Data[Year],CurYear)</f>
        <v>36101.759999999995</v>
      </c>
      <c r="O12" s="12">
        <f>SUMIFS(Data[Revenue],Data[Store Name],L12,Data[Month],PrevMonth,Data[Year],PMYear)</f>
        <v>30245.009999999995</v>
      </c>
      <c r="P12" s="8">
        <f t="shared" si="0"/>
        <v>0.19364351342585118</v>
      </c>
      <c r="Q12">
        <f t="shared" si="1"/>
        <v>10</v>
      </c>
      <c r="R12" s="12">
        <f t="shared" si="2"/>
        <v>0</v>
      </c>
      <c r="S12" s="18">
        <f t="shared" si="3"/>
        <v>0</v>
      </c>
      <c r="U12" t="s">
        <v>32</v>
      </c>
      <c r="V12" s="12">
        <f>SUMIFS(Data[Revenue],Data[Region],Region,Data[Month],CurMonth,Data[Year],CurYear,Data[Product Name],'Data Prep'!U12)</f>
        <v>857.22</v>
      </c>
      <c r="W12" s="12">
        <f>SUMIFS(Data[Revenue],Data[Region],Region,Data[Month],PrevMonth,Data[Year],PMYear,Data[Product Name],'Data Prep'!U12)</f>
        <v>538.51</v>
      </c>
      <c r="X12" s="2">
        <f t="shared" si="4"/>
        <v>318.71000000000004</v>
      </c>
      <c r="Y12">
        <f t="shared" si="5"/>
        <v>15</v>
      </c>
      <c r="Z12">
        <f t="shared" si="6"/>
        <v>20</v>
      </c>
      <c r="AB12">
        <v>1</v>
      </c>
      <c r="AC12" t="str">
        <f>INDEX($U$3:$X$36,MATCH($AB$12,$Z$3:$Z$36,0),MATCH($AC$2,$U$2:$X$2,0))</f>
        <v>Action Figure</v>
      </c>
      <c r="AD12" s="2">
        <f>INDEX($U$3:$X$36,MATCH($AB$12,$Z$3:$Z$36,0),MATCH($AD$2,$U$2:$X$2,0))</f>
        <v>1630.98</v>
      </c>
      <c r="AE12" s="2">
        <f>INDEX($U$3:$X$36,MATCH($AB$12,$Z$3:$Z$36,0),MATCH($AE$2,$U$2:$X$2,0))</f>
        <v>-1886.8200000000002</v>
      </c>
    </row>
    <row r="13" spans="1:31" x14ac:dyDescent="0.35">
      <c r="G13">
        <v>11</v>
      </c>
      <c r="H13" t="s">
        <v>99</v>
      </c>
      <c r="I13" s="12">
        <f>SUMIFS(Data[[Revenue]:[Revenue]],Data[[Region]:[Region]],Region,Data[[Month]:[Month]],'Data Prep'!$G13,Data[[Year]:[Year]],'Data Prep'!I$2)</f>
        <v>43677.41</v>
      </c>
      <c r="J13" s="12" t="e">
        <f>IF(G13&gt;CurMonth,NA(),SUMIFS(Data[[Revenue]:[Revenue]],Data[[Region]:[Region]],Region,Data[[Month]:[Month]],'Data Prep'!$G13,Data[[Year]:[Year]],'Data Prep'!J$2))</f>
        <v>#N/A</v>
      </c>
      <c r="U13" t="s">
        <v>31</v>
      </c>
      <c r="V13" s="12">
        <f>SUMIFS(Data[Revenue],Data[Region],Region,Data[Month],CurMonth,Data[Year],CurYear,Data[Product Name],'Data Prep'!U13)</f>
        <v>2878.5599999999995</v>
      </c>
      <c r="W13" s="12">
        <f>SUMIFS(Data[Revenue],Data[Region],Region,Data[Month],PrevMonth,Data[Year],PMYear,Data[Product Name],'Data Prep'!U13)</f>
        <v>1299.3499999999999</v>
      </c>
      <c r="X13" s="2">
        <f t="shared" si="4"/>
        <v>1579.2099999999996</v>
      </c>
      <c r="Y13">
        <f t="shared" si="5"/>
        <v>4</v>
      </c>
      <c r="Z13">
        <f t="shared" si="6"/>
        <v>31</v>
      </c>
      <c r="AB13">
        <v>2</v>
      </c>
      <c r="AC13" t="str">
        <f>INDEX($U$3:$X$36,MATCH($AB$13,$Z$3:$Z$36,0),MATCH($AC$2,$U$2:$X$2,0))</f>
        <v>Lego Bricks</v>
      </c>
      <c r="AD13" s="2">
        <f>INDEX($U$3:$X$36,MATCH($AB$13,$Z$3:$Z$36,0),MATCH($AD$2,$U$2:$X$2,0))</f>
        <v>8517.8700000000008</v>
      </c>
      <c r="AE13" s="2">
        <f>INDEX($U$3:$X$36,MATCH($AB$13,$Z$3:$Z$36,0),MATCH($AE$2,$U$2:$X$2,0))</f>
        <v>-1639.5900000000001</v>
      </c>
    </row>
    <row r="14" spans="1:31" x14ac:dyDescent="0.35">
      <c r="G14">
        <v>12</v>
      </c>
      <c r="H14" t="s">
        <v>100</v>
      </c>
      <c r="I14" s="12">
        <f>SUMIFS(Data[[Revenue]:[Revenue]],Data[[Region]:[Region]],Region,Data[[Month]:[Month]],'Data Prep'!$G14,Data[[Year]:[Year]],'Data Prep'!I$2)</f>
        <v>61614.720000000001</v>
      </c>
      <c r="J14" s="12" t="e">
        <f>IF(G14&gt;CurMonth,NA(),SUMIFS(Data[[Revenue]:[Revenue]],Data[[Region]:[Region]],Region,Data[[Month]:[Month]],'Data Prep'!$G14,Data[[Year]:[Year]],'Data Prep'!J$2))</f>
        <v>#N/A</v>
      </c>
      <c r="U14" t="s">
        <v>15</v>
      </c>
      <c r="V14" s="12">
        <f>SUMIFS(Data[Revenue],Data[Region],Region,Data[Month],CurMonth,Data[Year],CurYear,Data[Product Name],'Data Prep'!U14)</f>
        <v>8517.8700000000008</v>
      </c>
      <c r="W14" s="12">
        <f>SUMIFS(Data[Revenue],Data[Region],Region,Data[Month],PrevMonth,Data[Year],PMYear,Data[Product Name],'Data Prep'!U14)</f>
        <v>10157.460000000001</v>
      </c>
      <c r="X14" s="2">
        <f t="shared" si="4"/>
        <v>-1639.5900000000001</v>
      </c>
      <c r="Y14">
        <f t="shared" si="5"/>
        <v>33</v>
      </c>
      <c r="Z14">
        <f t="shared" si="6"/>
        <v>2</v>
      </c>
      <c r="AB14">
        <v>3</v>
      </c>
      <c r="AC14" t="str">
        <f>INDEX($U$3:$X$36,MATCH($AB$14,$Z$3:$Z$36,0),MATCH($AC$2,$U$2:$X$2,0))</f>
        <v>Gamer Headset</v>
      </c>
      <c r="AD14" s="2">
        <f>INDEX($U$3:$X$36,MATCH($AB$14,$Z$3:$Z$36,0),MATCH($AD$2,$U$2:$X$2,0))</f>
        <v>776.62999999999988</v>
      </c>
      <c r="AE14" s="2">
        <f>INDEX($U$3:$X$36,MATCH($AB$14,$Z$3:$Z$36,0),MATCH($AE$2,$U$2:$X$2,0))</f>
        <v>-944.55</v>
      </c>
    </row>
    <row r="15" spans="1:31" x14ac:dyDescent="0.35">
      <c r="U15" t="s">
        <v>71</v>
      </c>
      <c r="V15" s="12">
        <f>SUMIFS(Data[Revenue],Data[Region],Region,Data[Month],CurMonth,Data[Year],CurYear,Data[Product Name],'Data Prep'!U15)</f>
        <v>369.63</v>
      </c>
      <c r="W15" s="12">
        <f>SUMIFS(Data[Revenue],Data[Region],Region,Data[Month],PrevMonth,Data[Year],PMYear,Data[Product Name],'Data Prep'!U15)</f>
        <v>699.3</v>
      </c>
      <c r="X15" s="2">
        <f t="shared" si="4"/>
        <v>-329.66999999999996</v>
      </c>
      <c r="Y15">
        <f t="shared" si="5"/>
        <v>30</v>
      </c>
      <c r="Z15">
        <f t="shared" si="6"/>
        <v>5</v>
      </c>
      <c r="AB15">
        <v>4</v>
      </c>
      <c r="AC15" t="str">
        <f>INDEX($U$3:$X$36,MATCH($AB$15,$Z$3:$Z$36,0),MATCH($AC$2,$U$2:$X$2,0))</f>
        <v>Magic Sand</v>
      </c>
      <c r="AD15" s="2">
        <f>INDEX($U$3:$X$36,MATCH($AB$15,$Z$3:$Z$36,0),MATCH($AD$2,$U$2:$X$2,0))</f>
        <v>4924.92</v>
      </c>
      <c r="AE15" s="2">
        <f>INDEX($U$3:$X$36,MATCH($AB$15,$Z$3:$Z$36,0),MATCH($AE$2,$U$2:$X$2,0))</f>
        <v>-591.6299999999992</v>
      </c>
    </row>
    <row r="16" spans="1:31" x14ac:dyDescent="0.35">
      <c r="U16" t="s">
        <v>19</v>
      </c>
      <c r="V16" s="12">
        <f>SUMIFS(Data[Revenue],Data[Region],Region,Data[Month],CurMonth,Data[Year],CurYear,Data[Product Name],'Data Prep'!U16)</f>
        <v>0</v>
      </c>
      <c r="W16" s="12">
        <f>SUMIFS(Data[Revenue],Data[Region],Region,Data[Month],PrevMonth,Data[Year],PMYear,Data[Product Name],'Data Prep'!U16)</f>
        <v>119.94</v>
      </c>
      <c r="X16" s="2">
        <f t="shared" si="4"/>
        <v>-119.94</v>
      </c>
      <c r="Y16">
        <f t="shared" si="5"/>
        <v>24</v>
      </c>
      <c r="Z16">
        <f t="shared" si="6"/>
        <v>11</v>
      </c>
      <c r="AB16">
        <v>5</v>
      </c>
      <c r="AC16" t="str">
        <f>INDEX($U$3:$X$36,MATCH($AB$16,$Z$3:$Z$36,0),MATCH($AC$2,$U$2:$X$2,0))</f>
        <v>Mini Ping Pong</v>
      </c>
      <c r="AD16" s="2">
        <f>INDEX($U$3:$X$36,MATCH($AB$16,$Z$3:$Z$36,0),MATCH($AD$2,$U$2:$X$2,0))</f>
        <v>369.63</v>
      </c>
      <c r="AE16" s="2">
        <f>INDEX($U$3:$X$36,MATCH($AB$16,$Z$3:$Z$36,0),MATCH($AE$2,$U$2:$X$2,0))</f>
        <v>-329.66999999999996</v>
      </c>
    </row>
    <row r="17" spans="21:26" x14ac:dyDescent="0.35">
      <c r="U17" t="s">
        <v>27</v>
      </c>
      <c r="V17" s="12">
        <f>SUMIFS(Data[Revenue],Data[Region],Region,Data[Month],CurMonth,Data[Year],CurYear,Data[Product Name],'Data Prep'!U17)</f>
        <v>1034.5400000000002</v>
      </c>
      <c r="W17" s="12">
        <f>SUMIFS(Data[Revenue],Data[Region],Region,Data[Month],PrevMonth,Data[Year],PMYear,Data[Product Name],'Data Prep'!U17)</f>
        <v>1043.5100000000002</v>
      </c>
      <c r="X17" s="2">
        <f t="shared" si="4"/>
        <v>-8.9700000000000273</v>
      </c>
      <c r="Y17">
        <f t="shared" si="5"/>
        <v>21</v>
      </c>
      <c r="Z17">
        <f t="shared" si="6"/>
        <v>14</v>
      </c>
    </row>
    <row r="18" spans="21:26" x14ac:dyDescent="0.35">
      <c r="U18" t="s">
        <v>11</v>
      </c>
      <c r="V18" s="12">
        <f>SUMIFS(Data[Revenue],Data[Region],Region,Data[Month],CurMonth,Data[Year],CurYear,Data[Product Name],'Data Prep'!U18)</f>
        <v>494.01</v>
      </c>
      <c r="W18" s="12">
        <f>SUMIFS(Data[Revenue],Data[Region],Region,Data[Month],PrevMonth,Data[Year],PMYear,Data[Product Name],'Data Prep'!U18)</f>
        <v>404.19</v>
      </c>
      <c r="X18" s="2">
        <f t="shared" si="4"/>
        <v>89.82</v>
      </c>
      <c r="Y18">
        <f t="shared" si="5"/>
        <v>20</v>
      </c>
      <c r="Z18">
        <f t="shared" si="6"/>
        <v>15</v>
      </c>
    </row>
    <row r="19" spans="21:26" x14ac:dyDescent="0.35">
      <c r="U19" t="s">
        <v>26</v>
      </c>
      <c r="V19" s="12">
        <f>SUMIFS(Data[Revenue],Data[Region],Region,Data[Month],CurMonth,Data[Year],CurYear,Data[Product Name],'Data Prep'!U19)</f>
        <v>5037.4799999999996</v>
      </c>
      <c r="W19" s="12">
        <f>SUMIFS(Data[Revenue],Data[Region],Region,Data[Month],PrevMonth,Data[Year],PMYear,Data[Product Name],'Data Prep'!U19)</f>
        <v>2238.88</v>
      </c>
      <c r="X19" s="2">
        <f t="shared" si="4"/>
        <v>2798.5999999999995</v>
      </c>
      <c r="Y19">
        <f t="shared" si="5"/>
        <v>2</v>
      </c>
      <c r="Z19">
        <f t="shared" si="6"/>
        <v>33</v>
      </c>
    </row>
    <row r="20" spans="21:26" x14ac:dyDescent="0.35">
      <c r="U20" t="s">
        <v>6</v>
      </c>
      <c r="V20" s="12">
        <f>SUMIFS(Data[Revenue],Data[Region],Region,Data[Month],CurMonth,Data[Year],CurYear,Data[Product Name],'Data Prep'!U20)</f>
        <v>2238.5100000000002</v>
      </c>
      <c r="W20" s="12">
        <f>SUMIFS(Data[Revenue],Data[Region],Region,Data[Month],PrevMonth,Data[Year],PMYear,Data[Product Name],'Data Prep'!U20)</f>
        <v>952.94</v>
      </c>
      <c r="X20" s="2">
        <f t="shared" si="4"/>
        <v>1285.5700000000002</v>
      </c>
      <c r="Y20">
        <f t="shared" si="5"/>
        <v>7</v>
      </c>
      <c r="Z20">
        <f t="shared" si="6"/>
        <v>28</v>
      </c>
    </row>
    <row r="21" spans="21:26" x14ac:dyDescent="0.35">
      <c r="U21" t="s">
        <v>16</v>
      </c>
      <c r="V21" s="12">
        <f>SUMIFS(Data[Revenue],Data[Region],Region,Data[Month],CurMonth,Data[Year],CurYear,Data[Product Name],'Data Prep'!U21)</f>
        <v>545.57999999999993</v>
      </c>
      <c r="W21" s="12">
        <f>SUMIFS(Data[Revenue],Data[Region],Region,Data[Month],PrevMonth,Data[Year],PMYear,Data[Product Name],'Data Prep'!U21)</f>
        <v>233.82000000000002</v>
      </c>
      <c r="X21" s="2">
        <f t="shared" si="4"/>
        <v>311.75999999999988</v>
      </c>
      <c r="Y21">
        <f t="shared" si="5"/>
        <v>16</v>
      </c>
      <c r="Z21">
        <f t="shared" si="6"/>
        <v>19</v>
      </c>
    </row>
    <row r="22" spans="21:26" x14ac:dyDescent="0.35">
      <c r="U22" t="s">
        <v>23</v>
      </c>
      <c r="V22" s="12">
        <f>SUMIFS(Data[Revenue],Data[Region],Region,Data[Month],CurMonth,Data[Year],CurYear,Data[Product Name],'Data Prep'!U22)</f>
        <v>1663.3599999999997</v>
      </c>
      <c r="W22" s="12">
        <f>SUMIFS(Data[Revenue],Data[Region],Region,Data[Month],PrevMonth,Data[Year],PMYear,Data[Product Name],'Data Prep'!U22)</f>
        <v>337.87</v>
      </c>
      <c r="X22" s="2">
        <f t="shared" si="4"/>
        <v>1325.4899999999998</v>
      </c>
      <c r="Y22">
        <f t="shared" si="5"/>
        <v>6</v>
      </c>
      <c r="Z22">
        <f t="shared" si="6"/>
        <v>29</v>
      </c>
    </row>
    <row r="23" spans="21:26" x14ac:dyDescent="0.35">
      <c r="U23" t="s">
        <v>10</v>
      </c>
      <c r="V23" s="12">
        <f>SUMIFS(Data[Revenue],Data[Region],Region,Data[Month],CurMonth,Data[Year],CurYear,Data[Product Name],'Data Prep'!U23)</f>
        <v>2338.83</v>
      </c>
      <c r="W23" s="12">
        <f>SUMIFS(Data[Revenue],Data[Region],Region,Data[Month],PrevMonth,Data[Year],PMYear,Data[Product Name],'Data Prep'!U23)</f>
        <v>999.5</v>
      </c>
      <c r="X23" s="2">
        <f t="shared" si="4"/>
        <v>1339.33</v>
      </c>
      <c r="Y23">
        <f t="shared" si="5"/>
        <v>5</v>
      </c>
      <c r="Z23">
        <f t="shared" si="6"/>
        <v>30</v>
      </c>
    </row>
    <row r="24" spans="21:26" x14ac:dyDescent="0.35">
      <c r="U24" t="s">
        <v>66</v>
      </c>
      <c r="V24" s="12">
        <f>SUMIFS(Data[Revenue],Data[Region],Region,Data[Month],CurMonth,Data[Year],CurYear,Data[Product Name],'Data Prep'!U24)</f>
        <v>0</v>
      </c>
      <c r="W24" s="12">
        <f>SUMIFS(Data[Revenue],Data[Region],Region,Data[Month],PrevMonth,Data[Year],PMYear,Data[Product Name],'Data Prep'!U24)</f>
        <v>124.94999999999999</v>
      </c>
      <c r="X24" s="2">
        <f t="shared" si="4"/>
        <v>-124.94999999999999</v>
      </c>
      <c r="Y24">
        <f t="shared" si="5"/>
        <v>25</v>
      </c>
      <c r="Z24">
        <f t="shared" si="6"/>
        <v>10</v>
      </c>
    </row>
    <row r="25" spans="21:26" x14ac:dyDescent="0.35">
      <c r="U25" t="s">
        <v>29</v>
      </c>
      <c r="V25" s="12">
        <f>SUMIFS(Data[Revenue],Data[Region],Region,Data[Month],CurMonth,Data[Year],CurYear,Data[Product Name],'Data Prep'!U25)</f>
        <v>0</v>
      </c>
      <c r="W25" s="12">
        <f>SUMIFS(Data[Revenue],Data[Region],Region,Data[Month],PrevMonth,Data[Year],PMYear,Data[Product Name],'Data Prep'!U25)</f>
        <v>87.89</v>
      </c>
      <c r="X25" s="2">
        <f t="shared" si="4"/>
        <v>-87.89</v>
      </c>
      <c r="Y25">
        <f t="shared" si="5"/>
        <v>22</v>
      </c>
      <c r="Z25">
        <f t="shared" si="6"/>
        <v>13</v>
      </c>
    </row>
    <row r="26" spans="21:26" x14ac:dyDescent="0.35">
      <c r="U26" t="s">
        <v>34</v>
      </c>
      <c r="V26" s="12">
        <f>SUMIFS(Data[Revenue],Data[Region],Region,Data[Month],CurMonth,Data[Year],CurYear,Data[Product Name],'Data Prep'!U26)</f>
        <v>1181.04</v>
      </c>
      <c r="W26" s="12">
        <f>SUMIFS(Data[Revenue],Data[Region],Region,Data[Month],PrevMonth,Data[Year],PMYear,Data[Product Name],'Data Prep'!U26)</f>
        <v>1500.2400000000002</v>
      </c>
      <c r="X26" s="2">
        <f t="shared" si="4"/>
        <v>-319.20000000000027</v>
      </c>
      <c r="Y26">
        <f t="shared" si="5"/>
        <v>29</v>
      </c>
      <c r="Z26">
        <f t="shared" si="6"/>
        <v>6</v>
      </c>
    </row>
    <row r="27" spans="21:26" x14ac:dyDescent="0.35">
      <c r="U27" t="s">
        <v>70</v>
      </c>
      <c r="V27" s="12">
        <f>SUMIFS(Data[Revenue],Data[Region],Region,Data[Month],CurMonth,Data[Year],CurYear,Data[Product Name],'Data Prep'!U27)</f>
        <v>814.6400000000001</v>
      </c>
      <c r="W27" s="12">
        <f>SUMIFS(Data[Revenue],Data[Region],Region,Data[Month],PrevMonth,Data[Year],PMYear,Data[Product Name],'Data Prep'!U27)</f>
        <v>173.71</v>
      </c>
      <c r="X27" s="2">
        <f t="shared" si="4"/>
        <v>640.93000000000006</v>
      </c>
      <c r="Y27">
        <f t="shared" si="5"/>
        <v>11</v>
      </c>
      <c r="Z27">
        <f t="shared" si="6"/>
        <v>24</v>
      </c>
    </row>
    <row r="28" spans="21:26" x14ac:dyDescent="0.35">
      <c r="U28" t="s">
        <v>67</v>
      </c>
      <c r="V28" s="12">
        <f>SUMIFS(Data[Revenue],Data[Region],Region,Data[Month],CurMonth,Data[Year],CurYear,Data[Product Name],'Data Prep'!U28)</f>
        <v>59.96</v>
      </c>
      <c r="W28" s="12">
        <f>SUMIFS(Data[Revenue],Data[Region],Region,Data[Month],PrevMonth,Data[Year],PMYear,Data[Product Name],'Data Prep'!U28)</f>
        <v>209.86</v>
      </c>
      <c r="X28" s="2">
        <f t="shared" si="4"/>
        <v>-149.9</v>
      </c>
      <c r="Y28">
        <f t="shared" si="5"/>
        <v>27</v>
      </c>
      <c r="Z28">
        <f t="shared" si="6"/>
        <v>8</v>
      </c>
    </row>
    <row r="29" spans="21:26" x14ac:dyDescent="0.35">
      <c r="U29" t="s">
        <v>37</v>
      </c>
      <c r="V29" s="12">
        <f>SUMIFS(Data[Revenue],Data[Region],Region,Data[Month],CurMonth,Data[Year],CurYear,Data[Product Name],'Data Prep'!U29)</f>
        <v>949.61999999999989</v>
      </c>
      <c r="W29" s="12">
        <f>SUMIFS(Data[Revenue],Data[Region],Region,Data[Month],PrevMonth,Data[Year],PMYear,Data[Product Name],'Data Prep'!U29)</f>
        <v>724.70999999999992</v>
      </c>
      <c r="X29" s="2">
        <f t="shared" si="4"/>
        <v>224.90999999999997</v>
      </c>
      <c r="Y29">
        <f t="shared" si="5"/>
        <v>18</v>
      </c>
      <c r="Z29">
        <f t="shared" si="6"/>
        <v>17</v>
      </c>
    </row>
    <row r="30" spans="21:26" x14ac:dyDescent="0.35">
      <c r="U30" t="s">
        <v>38</v>
      </c>
      <c r="V30" s="12">
        <f>SUMIFS(Data[Revenue],Data[Region],Region,Data[Month],CurMonth,Data[Year],CurYear,Data[Product Name],'Data Prep'!U30)</f>
        <v>189.81</v>
      </c>
      <c r="W30" s="12">
        <f>SUMIFS(Data[Revenue],Data[Region],Region,Data[Month],PrevMonth,Data[Year],PMYear,Data[Product Name],'Data Prep'!U30)</f>
        <v>329.66999999999996</v>
      </c>
      <c r="X30" s="2">
        <f t="shared" si="4"/>
        <v>-139.85999999999996</v>
      </c>
      <c r="Y30">
        <f t="shared" si="5"/>
        <v>26</v>
      </c>
      <c r="Z30">
        <f t="shared" si="6"/>
        <v>9</v>
      </c>
    </row>
    <row r="31" spans="21:26" x14ac:dyDescent="0.35">
      <c r="U31" t="s">
        <v>39</v>
      </c>
      <c r="V31" s="12">
        <f>SUMIFS(Data[Revenue],Data[Region],Region,Data[Month],CurMonth,Data[Year],CurYear,Data[Product Name],'Data Prep'!U31)</f>
        <v>1439.2799999999997</v>
      </c>
      <c r="W31" s="12">
        <f>SUMIFS(Data[Revenue],Data[Region],Region,Data[Month],PrevMonth,Data[Year],PMYear,Data[Product Name],'Data Prep'!U31)</f>
        <v>899.55</v>
      </c>
      <c r="X31" s="2">
        <f t="shared" si="4"/>
        <v>539.72999999999979</v>
      </c>
      <c r="Y31">
        <f t="shared" si="5"/>
        <v>14</v>
      </c>
      <c r="Z31">
        <f t="shared" si="6"/>
        <v>21</v>
      </c>
    </row>
    <row r="32" spans="21:26" x14ac:dyDescent="0.35">
      <c r="U32" t="s">
        <v>68</v>
      </c>
      <c r="V32" s="12">
        <f>SUMIFS(Data[Revenue],Data[Region],Region,Data[Month],CurMonth,Data[Year],CurYear,Data[Product Name],'Data Prep'!U32)</f>
        <v>776.62999999999988</v>
      </c>
      <c r="W32" s="12">
        <f>SUMIFS(Data[Revenue],Data[Region],Region,Data[Month],PrevMonth,Data[Year],PMYear,Data[Product Name],'Data Prep'!U32)</f>
        <v>1721.1799999999998</v>
      </c>
      <c r="X32" s="2">
        <f t="shared" si="4"/>
        <v>-944.55</v>
      </c>
      <c r="Y32">
        <f t="shared" si="5"/>
        <v>32</v>
      </c>
      <c r="Z32">
        <f t="shared" si="6"/>
        <v>3</v>
      </c>
    </row>
    <row r="33" spans="21:26" x14ac:dyDescent="0.35">
      <c r="U33" t="s">
        <v>42</v>
      </c>
      <c r="V33" s="12">
        <f>SUMIFS(Data[Revenue],Data[Region],Region,Data[Month],CurMonth,Data[Year],CurYear,Data[Product Name],'Data Prep'!U33)</f>
        <v>4924.92</v>
      </c>
      <c r="W33" s="12">
        <f>SUMIFS(Data[Revenue],Data[Region],Region,Data[Month],PrevMonth,Data[Year],PMYear,Data[Product Name],'Data Prep'!U33)</f>
        <v>5516.5499999999993</v>
      </c>
      <c r="X33" s="2">
        <f t="shared" si="4"/>
        <v>-591.6299999999992</v>
      </c>
      <c r="Y33">
        <f t="shared" si="5"/>
        <v>31</v>
      </c>
      <c r="Z33">
        <f t="shared" si="6"/>
        <v>4</v>
      </c>
    </row>
    <row r="34" spans="21:26" x14ac:dyDescent="0.35">
      <c r="U34" t="s">
        <v>41</v>
      </c>
      <c r="V34" s="12">
        <f>SUMIFS(Data[Revenue],Data[Region],Region,Data[Month],CurMonth,Data[Year],CurYear,Data[Product Name],'Data Prep'!U34)</f>
        <v>409.59</v>
      </c>
      <c r="W34" s="12">
        <f>SUMIFS(Data[Revenue],Data[Region],Region,Data[Month],PrevMonth,Data[Year],PMYear,Data[Product Name],'Data Prep'!U34)</f>
        <v>519.48</v>
      </c>
      <c r="X34" s="2">
        <f t="shared" si="4"/>
        <v>-109.89000000000004</v>
      </c>
      <c r="Y34">
        <f t="shared" si="5"/>
        <v>23</v>
      </c>
      <c r="Z34">
        <f t="shared" si="6"/>
        <v>12</v>
      </c>
    </row>
    <row r="35" spans="21:26" x14ac:dyDescent="0.35">
      <c r="U35" t="s">
        <v>43</v>
      </c>
      <c r="V35" s="12">
        <f>SUMIFS(Data[Revenue],Data[Region],Region,Data[Month],CurMonth,Data[Year],CurYear,Data[Product Name],'Data Prep'!U35)</f>
        <v>3442.3599999999997</v>
      </c>
      <c r="W35" s="12">
        <f>SUMIFS(Data[Revenue],Data[Region],Region,Data[Month],PrevMonth,Data[Year],PMYear,Data[Product Name],'Data Prep'!U35)</f>
        <v>503.75999999999993</v>
      </c>
      <c r="X35" s="2">
        <f t="shared" si="4"/>
        <v>2938.6</v>
      </c>
      <c r="Y35">
        <f t="shared" si="5"/>
        <v>1</v>
      </c>
      <c r="Z35">
        <f t="shared" si="6"/>
        <v>34</v>
      </c>
    </row>
    <row r="36" spans="21:26" x14ac:dyDescent="0.35">
      <c r="U36" t="s">
        <v>69</v>
      </c>
      <c r="V36" s="12">
        <f>SUMIFS(Data[Revenue],Data[Region],Region,Data[Month],CurMonth,Data[Year],CurYear,Data[Product Name],'Data Prep'!U36)</f>
        <v>887.26</v>
      </c>
      <c r="W36" s="12">
        <f>SUMIFS(Data[Revenue],Data[Region],Region,Data[Month],PrevMonth,Data[Year],PMYear,Data[Product Name],'Data Prep'!U36)</f>
        <v>323.73</v>
      </c>
      <c r="X36" s="2">
        <f t="shared" si="4"/>
        <v>563.53</v>
      </c>
      <c r="Y36">
        <f t="shared" si="5"/>
        <v>13</v>
      </c>
      <c r="Z36">
        <f t="shared" si="6"/>
        <v>22</v>
      </c>
    </row>
  </sheetData>
  <sortState xmlns:xlrd2="http://schemas.microsoft.com/office/spreadsheetml/2017/richdata2" ref="L3:P4267">
    <sortCondition ref="N2:N4267"/>
  </sortState>
  <mergeCells count="6">
    <mergeCell ref="U1:X1"/>
    <mergeCell ref="AB1:AE1"/>
    <mergeCell ref="AB10:AE10"/>
    <mergeCell ref="G1:J1"/>
    <mergeCell ref="D1:E1"/>
    <mergeCell ref="L1:Q1"/>
  </mergeCells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F66D-57C4-4B61-9F27-63324F3E12D2}">
  <dimension ref="B6:AA23"/>
  <sheetViews>
    <sheetView showGridLines="0" tabSelected="1" workbookViewId="0">
      <selection activeCell="C6" sqref="C6"/>
    </sheetView>
  </sheetViews>
  <sheetFormatPr defaultRowHeight="14.5" x14ac:dyDescent="0.35"/>
  <cols>
    <col min="1" max="1" width="4.36328125" customWidth="1"/>
    <col min="2" max="2" width="16.54296875" bestFit="1" customWidth="1"/>
    <col min="3" max="3" width="22.81640625" bestFit="1" customWidth="1"/>
    <col min="22" max="22" width="14.08984375" bestFit="1" customWidth="1"/>
    <col min="23" max="23" width="8" bestFit="1" customWidth="1"/>
    <col min="24" max="24" width="12" bestFit="1" customWidth="1"/>
  </cols>
  <sheetData>
    <row r="6" spans="2:27" ht="31" x14ac:dyDescent="0.7">
      <c r="B6" s="14" t="s">
        <v>111</v>
      </c>
      <c r="C6" s="19" t="s">
        <v>4</v>
      </c>
      <c r="V6" s="16"/>
      <c r="W6" s="15"/>
      <c r="X6" s="15"/>
      <c r="Y6" s="23"/>
      <c r="Z6" s="23"/>
      <c r="AA6" s="23"/>
    </row>
    <row r="7" spans="2:27" x14ac:dyDescent="0.35">
      <c r="V7" s="7" t="s">
        <v>106</v>
      </c>
      <c r="W7" s="7" t="s">
        <v>46</v>
      </c>
      <c r="X7" s="7" t="s">
        <v>107</v>
      </c>
      <c r="Y7" s="7"/>
    </row>
    <row r="8" spans="2:27" x14ac:dyDescent="0.35">
      <c r="V8" t="str">
        <f>'Data Prep'!AC3</f>
        <v>Etch A Sketch</v>
      </c>
      <c r="W8" s="2">
        <f>'Data Prep'!AD3</f>
        <v>3442.3599999999997</v>
      </c>
      <c r="X8" s="2">
        <f>'Data Prep'!AE3</f>
        <v>2938.6</v>
      </c>
      <c r="Y8" s="2"/>
    </row>
    <row r="9" spans="2:27" x14ac:dyDescent="0.35">
      <c r="V9" t="str">
        <f>'Data Prep'!AC4</f>
        <v>Rubik's Cube</v>
      </c>
      <c r="W9" s="2">
        <f>'Data Prep'!AD4</f>
        <v>5037.4799999999996</v>
      </c>
      <c r="X9" s="2">
        <f>'Data Prep'!AE4</f>
        <v>2798.5999999999995</v>
      </c>
      <c r="Y9" s="2"/>
    </row>
    <row r="10" spans="2:27" x14ac:dyDescent="0.35">
      <c r="V10" t="str">
        <f>'Data Prep'!AC5</f>
        <v>Colorbuds</v>
      </c>
      <c r="W10" s="2">
        <f>'Data Prep'!AD5</f>
        <v>5291.47</v>
      </c>
      <c r="X10" s="2">
        <f>'Data Prep'!AE5</f>
        <v>2248.5000000000005</v>
      </c>
      <c r="Y10" s="2"/>
    </row>
    <row r="11" spans="2:27" x14ac:dyDescent="0.35">
      <c r="V11" t="str">
        <f>'Data Prep'!AC6</f>
        <v>Kids Makeup Kit</v>
      </c>
      <c r="W11" s="2">
        <f>'Data Prep'!AD6</f>
        <v>2878.5599999999995</v>
      </c>
      <c r="X11" s="2">
        <f>'Data Prep'!AE6</f>
        <v>1579.2099999999996</v>
      </c>
      <c r="Y11" s="2"/>
    </row>
    <row r="12" spans="2:27" ht="14" customHeight="1" x14ac:dyDescent="0.35">
      <c r="V12" t="str">
        <f>'Data Prep'!AC7</f>
        <v>Nerf Gun</v>
      </c>
      <c r="W12" s="2">
        <f>'Data Prep'!AD7</f>
        <v>2338.83</v>
      </c>
      <c r="X12" s="2">
        <f>'Data Prep'!AE7</f>
        <v>1339.33</v>
      </c>
      <c r="Y12" s="2"/>
    </row>
    <row r="13" spans="2:27" ht="20.5" customHeight="1" x14ac:dyDescent="0.35">
      <c r="X13" s="17">
        <f>SUM(X8:X12)</f>
        <v>10904.239999999998</v>
      </c>
    </row>
    <row r="14" spans="2:27" ht="9.5" customHeight="1" x14ac:dyDescent="0.35"/>
    <row r="15" spans="2:27" x14ac:dyDescent="0.35">
      <c r="V15" s="22"/>
      <c r="W15" s="22"/>
      <c r="X15" s="22"/>
      <c r="Y15" s="22"/>
    </row>
    <row r="16" spans="2:27" x14ac:dyDescent="0.35">
      <c r="V16" s="2"/>
      <c r="W16" s="7"/>
      <c r="X16" s="7"/>
      <c r="Y16" s="7"/>
    </row>
    <row r="17" spans="22:25" x14ac:dyDescent="0.35">
      <c r="V17" s="7" t="s">
        <v>106</v>
      </c>
      <c r="W17" s="7" t="s">
        <v>46</v>
      </c>
      <c r="X17" s="7" t="s">
        <v>107</v>
      </c>
      <c r="Y17" s="2"/>
    </row>
    <row r="18" spans="22:25" x14ac:dyDescent="0.35">
      <c r="V18" t="str">
        <f>'Data Prep'!AC12</f>
        <v>Action Figure</v>
      </c>
      <c r="W18" s="2">
        <f>'Data Prep'!AD12</f>
        <v>1630.98</v>
      </c>
      <c r="X18" s="2">
        <f>'Data Prep'!AE12</f>
        <v>-1886.8200000000002</v>
      </c>
      <c r="Y18" s="2"/>
    </row>
    <row r="19" spans="22:25" x14ac:dyDescent="0.35">
      <c r="V19" t="str">
        <f>'Data Prep'!AC13</f>
        <v>Lego Bricks</v>
      </c>
      <c r="W19" s="2">
        <f>'Data Prep'!AD13</f>
        <v>8517.8700000000008</v>
      </c>
      <c r="X19" s="2">
        <f>'Data Prep'!AE13</f>
        <v>-1639.5900000000001</v>
      </c>
      <c r="Y19" s="2"/>
    </row>
    <row r="20" spans="22:25" x14ac:dyDescent="0.35">
      <c r="V20" t="str">
        <f>'Data Prep'!AC14</f>
        <v>Gamer Headset</v>
      </c>
      <c r="W20" s="2">
        <f>'Data Prep'!AD14</f>
        <v>776.62999999999988</v>
      </c>
      <c r="X20" s="2">
        <f>'Data Prep'!AE14</f>
        <v>-944.55</v>
      </c>
      <c r="Y20" s="2"/>
    </row>
    <row r="21" spans="22:25" x14ac:dyDescent="0.35">
      <c r="V21" t="str">
        <f>'Data Prep'!AC15</f>
        <v>Magic Sand</v>
      </c>
      <c r="W21" s="2">
        <f>'Data Prep'!AD15</f>
        <v>4924.92</v>
      </c>
      <c r="X21" s="2">
        <f>'Data Prep'!AE15</f>
        <v>-591.6299999999992</v>
      </c>
      <c r="Y21" s="2"/>
    </row>
    <row r="22" spans="22:25" x14ac:dyDescent="0.35">
      <c r="V22" t="str">
        <f>'Data Prep'!AC16</f>
        <v>Mini Ping Pong</v>
      </c>
      <c r="W22" s="2">
        <f>'Data Prep'!AD16</f>
        <v>369.63</v>
      </c>
      <c r="X22" s="2">
        <f>'Data Prep'!AE16</f>
        <v>-329.66999999999996</v>
      </c>
    </row>
    <row r="23" spans="22:25" x14ac:dyDescent="0.35">
      <c r="X23" s="17">
        <f>SUM(X18:X22)</f>
        <v>-5392.2599999999993</v>
      </c>
    </row>
  </sheetData>
  <sheetProtection sheet="1" objects="1" scenarios="1"/>
  <mergeCells count="2">
    <mergeCell ref="V15:Y15"/>
    <mergeCell ref="Y6:AA6"/>
  </mergeCells>
  <conditionalFormatting sqref="Z11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X8:X12">
    <cfRule type="colorScale" priority="2">
      <colorScale>
        <cfvo type="min"/>
        <cfvo type="max"/>
        <color rgb="FFFCFCFF"/>
        <color rgb="FF63BE7B"/>
      </colorScale>
    </cfRule>
  </conditionalFormatting>
  <conditionalFormatting sqref="X18:X2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4988D1-1394-457A-A34B-78CF7FD05C45}">
          <x14:formula1>
            <xm:f>'Data Prep'!$A$2:$A$4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13" workbookViewId="0">
      <selection sqref="A1:J269"/>
    </sheetView>
  </sheetViews>
  <sheetFormatPr defaultRowHeight="14.5" x14ac:dyDescent="0.35"/>
  <sheetData>
    <row r="1" spans="1:10" x14ac:dyDescent="0.3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4.5" x14ac:dyDescent="0.35"/>
  <sheetData>
    <row r="1" spans="1:10" x14ac:dyDescent="0.3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Zach Crutchmer</cp:lastModifiedBy>
  <dcterms:created xsi:type="dcterms:W3CDTF">2021-07-16T18:17:37Z</dcterms:created>
  <dcterms:modified xsi:type="dcterms:W3CDTF">2022-11-02T23:17:16Z</dcterms:modified>
</cp:coreProperties>
</file>