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7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8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9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2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1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2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23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5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26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27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2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black\Documents\Telework\2022\Bogus Weather\"/>
    </mc:Choice>
  </mc:AlternateContent>
  <xr:revisionPtr revIDLastSave="0" documentId="13_ncr:1_{2659BE4E-C313-42B2-8F24-86C2EDB683D7}" xr6:coauthVersionLast="46" xr6:coauthVersionMax="46" xr10:uidLastSave="{00000000-0000-0000-0000-000000000000}"/>
  <bookViews>
    <workbookView xWindow="-28920" yWindow="-11340" windowWidth="29040" windowHeight="15840" tabRatio="795" xr2:uid="{00000000-000D-0000-FFFF-FFFF00000000}"/>
  </bookViews>
  <sheets>
    <sheet name="Summary" sheetId="11" r:id="rId1"/>
    <sheet name="1242015" sheetId="1" r:id="rId2"/>
    <sheet name="012816" sheetId="4" r:id="rId3"/>
    <sheet name="022416" sheetId="5" r:id="rId4"/>
    <sheet name="33116" sheetId="2" r:id="rId5"/>
    <sheet name="113016" sheetId="3" r:id="rId6"/>
    <sheet name="122216" sheetId="6" r:id="rId7"/>
    <sheet name="12017" sheetId="8" r:id="rId8"/>
    <sheet name="021017" sheetId="9" r:id="rId9"/>
    <sheet name="030217" sheetId="10" r:id="rId10"/>
    <sheet name="050117" sheetId="7" r:id="rId11"/>
    <sheet name="121417" sheetId="12" r:id="rId12"/>
    <sheet name="011118" sheetId="13" r:id="rId13"/>
    <sheet name="020118" sheetId="15" r:id="rId14"/>
    <sheet name="022118" sheetId="14" r:id="rId15"/>
    <sheet name="030818" sheetId="16" r:id="rId16"/>
    <sheet name="031918" sheetId="17" r:id="rId17"/>
    <sheet name="041318" sheetId="18" r:id="rId18"/>
    <sheet name="121118" sheetId="21" r:id="rId19"/>
    <sheet name="12319" sheetId="20" r:id="rId20"/>
    <sheet name="21519" sheetId="22" r:id="rId21"/>
    <sheet name="22519 " sheetId="24" r:id="rId22"/>
    <sheet name="032919" sheetId="25" r:id="rId23"/>
    <sheet name="01092020" sheetId="30" r:id="rId24"/>
    <sheet name="01302020 " sheetId="31" r:id="rId25"/>
    <sheet name="022720" sheetId="32" r:id="rId26"/>
    <sheet name="120420" sheetId="29" r:id="rId27"/>
    <sheet name="010721" sheetId="28" r:id="rId28"/>
    <sheet name="021921" sheetId="26" r:id="rId29"/>
    <sheet name="32321" sheetId="27" r:id="rId30"/>
    <sheet name="04042021" sheetId="33" r:id="rId31"/>
    <sheet name="Sheet2" sheetId="23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33" l="1"/>
  <c r="J16" i="33"/>
  <c r="J15" i="33"/>
  <c r="J5" i="33"/>
  <c r="K25" i="33"/>
  <c r="K24" i="33"/>
  <c r="J8" i="33"/>
  <c r="F37" i="11"/>
  <c r="D27" i="33"/>
  <c r="F23" i="33"/>
  <c r="B23" i="33"/>
  <c r="B27" i="33"/>
  <c r="C22" i="33"/>
  <c r="H16" i="33"/>
  <c r="G16" i="33"/>
  <c r="E16" i="33"/>
  <c r="D16" i="33"/>
  <c r="C16" i="33"/>
  <c r="C17" i="33" s="1"/>
  <c r="I15" i="33"/>
  <c r="F15" i="33"/>
  <c r="I14" i="33"/>
  <c r="F14" i="33"/>
  <c r="J14" i="33" s="1"/>
  <c r="I13" i="33"/>
  <c r="F13" i="33"/>
  <c r="I12" i="33"/>
  <c r="F12" i="33"/>
  <c r="I11" i="33"/>
  <c r="F11" i="33"/>
  <c r="I10" i="33"/>
  <c r="F10" i="33"/>
  <c r="I9" i="33"/>
  <c r="F9" i="33"/>
  <c r="I8" i="33"/>
  <c r="F8" i="33"/>
  <c r="I7" i="33"/>
  <c r="F7" i="33"/>
  <c r="I6" i="33"/>
  <c r="F6" i="33"/>
  <c r="J6" i="33" s="1"/>
  <c r="I5" i="33"/>
  <c r="F5" i="33"/>
  <c r="I4" i="33"/>
  <c r="F4" i="33"/>
  <c r="J10" i="33" l="1"/>
  <c r="J12" i="33"/>
  <c r="J13" i="33"/>
  <c r="J11" i="33"/>
  <c r="J9" i="33"/>
  <c r="J7" i="33"/>
  <c r="F16" i="33"/>
  <c r="J4" i="33"/>
  <c r="I16" i="33"/>
  <c r="F27" i="11"/>
  <c r="F28" i="11"/>
  <c r="F29" i="11"/>
  <c r="B27" i="32"/>
  <c r="C22" i="32"/>
  <c r="H16" i="32"/>
  <c r="G16" i="32"/>
  <c r="E16" i="32"/>
  <c r="D16" i="32"/>
  <c r="C16" i="32"/>
  <c r="C17" i="32" s="1"/>
  <c r="I15" i="32"/>
  <c r="J15" i="32" s="1"/>
  <c r="F15" i="32"/>
  <c r="I14" i="32"/>
  <c r="F14" i="32"/>
  <c r="J14" i="32" s="1"/>
  <c r="I13" i="32"/>
  <c r="F13" i="32"/>
  <c r="I12" i="32"/>
  <c r="F12" i="32"/>
  <c r="I11" i="32"/>
  <c r="F11" i="32"/>
  <c r="I10" i="32"/>
  <c r="F10" i="32"/>
  <c r="J10" i="32" s="1"/>
  <c r="I9" i="32"/>
  <c r="F9" i="32"/>
  <c r="I8" i="32"/>
  <c r="F8" i="32"/>
  <c r="I7" i="32"/>
  <c r="F7" i="32"/>
  <c r="I6" i="32"/>
  <c r="F6" i="32"/>
  <c r="J6" i="32" s="1"/>
  <c r="I5" i="32"/>
  <c r="F5" i="32"/>
  <c r="I4" i="32"/>
  <c r="F4" i="32"/>
  <c r="B27" i="31"/>
  <c r="C22" i="31"/>
  <c r="H16" i="31"/>
  <c r="G16" i="31"/>
  <c r="E16" i="31"/>
  <c r="D16" i="31"/>
  <c r="C16" i="31"/>
  <c r="C17" i="31" s="1"/>
  <c r="I15" i="31"/>
  <c r="J15" i="31" s="1"/>
  <c r="F15" i="31"/>
  <c r="I14" i="31"/>
  <c r="J14" i="31" s="1"/>
  <c r="F14" i="31"/>
  <c r="I13" i="31"/>
  <c r="F13" i="31"/>
  <c r="I12" i="31"/>
  <c r="F12" i="31"/>
  <c r="J12" i="31" s="1"/>
  <c r="I11" i="31"/>
  <c r="F11" i="31"/>
  <c r="I10" i="31"/>
  <c r="J10" i="31" s="1"/>
  <c r="F10" i="31"/>
  <c r="I9" i="31"/>
  <c r="F9" i="31"/>
  <c r="I8" i="31"/>
  <c r="F8" i="31"/>
  <c r="I7" i="31"/>
  <c r="F7" i="31"/>
  <c r="J7" i="31" s="1"/>
  <c r="I6" i="31"/>
  <c r="F6" i="31"/>
  <c r="I5" i="31"/>
  <c r="F5" i="31"/>
  <c r="I4" i="31"/>
  <c r="F4" i="31"/>
  <c r="F16" i="30"/>
  <c r="E16" i="30"/>
  <c r="D16" i="30"/>
  <c r="B27" i="30"/>
  <c r="C22" i="30"/>
  <c r="H16" i="30"/>
  <c r="G16" i="30"/>
  <c r="C16" i="30"/>
  <c r="C17" i="30" s="1"/>
  <c r="I15" i="30"/>
  <c r="F15" i="30"/>
  <c r="I14" i="30"/>
  <c r="F14" i="30"/>
  <c r="I13" i="30"/>
  <c r="F13" i="30"/>
  <c r="I12" i="30"/>
  <c r="F12" i="30"/>
  <c r="I11" i="30"/>
  <c r="J11" i="30" s="1"/>
  <c r="F11" i="30"/>
  <c r="I10" i="30"/>
  <c r="F10" i="30"/>
  <c r="I9" i="30"/>
  <c r="F9" i="30"/>
  <c r="I8" i="30"/>
  <c r="J8" i="30" s="1"/>
  <c r="F8" i="30"/>
  <c r="I7" i="30"/>
  <c r="F7" i="30"/>
  <c r="I6" i="30"/>
  <c r="F6" i="30"/>
  <c r="I5" i="30"/>
  <c r="F5" i="30"/>
  <c r="I4" i="30"/>
  <c r="F4" i="30"/>
  <c r="J4" i="30" s="1"/>
  <c r="F36" i="11"/>
  <c r="F35" i="11"/>
  <c r="F34" i="11"/>
  <c r="F33" i="11"/>
  <c r="F25" i="11"/>
  <c r="B27" i="29"/>
  <c r="C22" i="29"/>
  <c r="H16" i="29"/>
  <c r="G16" i="29"/>
  <c r="E16" i="29"/>
  <c r="D16" i="29"/>
  <c r="C16" i="29"/>
  <c r="C17" i="29" s="1"/>
  <c r="I15" i="29"/>
  <c r="F15" i="29"/>
  <c r="I14" i="29"/>
  <c r="F14" i="29"/>
  <c r="I13" i="29"/>
  <c r="F13" i="29"/>
  <c r="I12" i="29"/>
  <c r="F12" i="29"/>
  <c r="J12" i="29" s="1"/>
  <c r="I11" i="29"/>
  <c r="F11" i="29"/>
  <c r="I10" i="29"/>
  <c r="F10" i="29"/>
  <c r="I9" i="29"/>
  <c r="F9" i="29"/>
  <c r="I8" i="29"/>
  <c r="J8" i="29" s="1"/>
  <c r="F8" i="29"/>
  <c r="I7" i="29"/>
  <c r="F7" i="29"/>
  <c r="I6" i="29"/>
  <c r="F6" i="29"/>
  <c r="I5" i="29"/>
  <c r="F5" i="29"/>
  <c r="I4" i="29"/>
  <c r="F4" i="29"/>
  <c r="F24" i="28"/>
  <c r="F23" i="28"/>
  <c r="B27" i="28"/>
  <c r="C22" i="28"/>
  <c r="H16" i="28"/>
  <c r="G16" i="28"/>
  <c r="E16" i="28"/>
  <c r="D16" i="28"/>
  <c r="C16" i="28"/>
  <c r="C17" i="28" s="1"/>
  <c r="I15" i="28"/>
  <c r="F15" i="28"/>
  <c r="I14" i="28"/>
  <c r="F14" i="28"/>
  <c r="I13" i="28"/>
  <c r="F13" i="28"/>
  <c r="I12" i="28"/>
  <c r="F12" i="28"/>
  <c r="I11" i="28"/>
  <c r="F11" i="28"/>
  <c r="J11" i="28" s="1"/>
  <c r="I10" i="28"/>
  <c r="F10" i="28"/>
  <c r="I9" i="28"/>
  <c r="F9" i="28"/>
  <c r="I8" i="28"/>
  <c r="F8" i="28"/>
  <c r="I7" i="28"/>
  <c r="F7" i="28"/>
  <c r="I6" i="28"/>
  <c r="F6" i="28"/>
  <c r="I5" i="28"/>
  <c r="J5" i="28" s="1"/>
  <c r="F5" i="28"/>
  <c r="I4" i="28"/>
  <c r="F4" i="28"/>
  <c r="D27" i="27"/>
  <c r="F23" i="27"/>
  <c r="F24" i="27"/>
  <c r="B23" i="27"/>
  <c r="B27" i="27"/>
  <c r="C22" i="27"/>
  <c r="H16" i="27"/>
  <c r="G16" i="27"/>
  <c r="E16" i="27"/>
  <c r="D16" i="27"/>
  <c r="C16" i="27"/>
  <c r="C17" i="27" s="1"/>
  <c r="I15" i="27"/>
  <c r="F15" i="27"/>
  <c r="J15" i="27" s="1"/>
  <c r="I14" i="27"/>
  <c r="F14" i="27"/>
  <c r="J13" i="27"/>
  <c r="I13" i="27"/>
  <c r="F13" i="27"/>
  <c r="I12" i="27"/>
  <c r="F12" i="27"/>
  <c r="I11" i="27"/>
  <c r="F11" i="27"/>
  <c r="I10" i="27"/>
  <c r="F10" i="27"/>
  <c r="I9" i="27"/>
  <c r="F9" i="27"/>
  <c r="I8" i="27"/>
  <c r="F8" i="27"/>
  <c r="I7" i="27"/>
  <c r="F7" i="27"/>
  <c r="I6" i="27"/>
  <c r="F6" i="27"/>
  <c r="I5" i="27"/>
  <c r="F5" i="27"/>
  <c r="I4" i="27"/>
  <c r="F4" i="27"/>
  <c r="F24" i="33" l="1"/>
  <c r="B24" i="33"/>
  <c r="K23" i="32"/>
  <c r="J12" i="32"/>
  <c r="J13" i="32"/>
  <c r="J11" i="32"/>
  <c r="J9" i="32"/>
  <c r="J8" i="32"/>
  <c r="F16" i="32"/>
  <c r="J7" i="32"/>
  <c r="J5" i="32"/>
  <c r="K25" i="32"/>
  <c r="K24" i="32"/>
  <c r="J4" i="32"/>
  <c r="I16" i="32"/>
  <c r="B23" i="32" s="1"/>
  <c r="B24" i="32" s="1"/>
  <c r="J11" i="31"/>
  <c r="K25" i="31"/>
  <c r="K23" i="31"/>
  <c r="J8" i="31"/>
  <c r="J13" i="31"/>
  <c r="J9" i="31"/>
  <c r="J5" i="31"/>
  <c r="F16" i="31"/>
  <c r="J6" i="31"/>
  <c r="K24" i="31"/>
  <c r="J4" i="31"/>
  <c r="I16" i="31"/>
  <c r="B23" i="31" s="1"/>
  <c r="B24" i="31" s="1"/>
  <c r="J5" i="30"/>
  <c r="J13" i="30"/>
  <c r="J12" i="30"/>
  <c r="J9" i="30"/>
  <c r="K24" i="30"/>
  <c r="K23" i="30"/>
  <c r="J10" i="30"/>
  <c r="J15" i="30"/>
  <c r="J14" i="30"/>
  <c r="J7" i="30"/>
  <c r="J6" i="30"/>
  <c r="I16" i="30"/>
  <c r="B23" i="30" s="1"/>
  <c r="B24" i="30" s="1"/>
  <c r="K25" i="30"/>
  <c r="K25" i="29"/>
  <c r="J4" i="29"/>
  <c r="J15" i="29"/>
  <c r="J11" i="29"/>
  <c r="J10" i="29"/>
  <c r="J14" i="29"/>
  <c r="J13" i="29"/>
  <c r="F16" i="29"/>
  <c r="J9" i="29"/>
  <c r="J7" i="29"/>
  <c r="J6" i="29"/>
  <c r="J5" i="29"/>
  <c r="I16" i="29"/>
  <c r="K23" i="29"/>
  <c r="K24" i="29"/>
  <c r="J15" i="28"/>
  <c r="J7" i="28"/>
  <c r="I16" i="28"/>
  <c r="J14" i="28"/>
  <c r="J13" i="28"/>
  <c r="J12" i="28"/>
  <c r="J10" i="28"/>
  <c r="J9" i="28"/>
  <c r="J8" i="28"/>
  <c r="F16" i="28"/>
  <c r="J6" i="28"/>
  <c r="K24" i="28"/>
  <c r="K23" i="28"/>
  <c r="K25" i="28"/>
  <c r="J4" i="28"/>
  <c r="J11" i="27"/>
  <c r="J9" i="27"/>
  <c r="J7" i="27"/>
  <c r="K25" i="27"/>
  <c r="J14" i="27"/>
  <c r="J12" i="27"/>
  <c r="J10" i="27"/>
  <c r="F16" i="27"/>
  <c r="J8" i="27"/>
  <c r="J6" i="27"/>
  <c r="J5" i="27"/>
  <c r="J4" i="27"/>
  <c r="I16" i="27"/>
  <c r="K24" i="27"/>
  <c r="K23" i="27"/>
  <c r="J16" i="26"/>
  <c r="I16" i="26"/>
  <c r="F24" i="26" s="1"/>
  <c r="H16" i="26"/>
  <c r="G16" i="26"/>
  <c r="F16" i="26"/>
  <c r="E16" i="26"/>
  <c r="C16" i="26"/>
  <c r="D16" i="26"/>
  <c r="B27" i="26"/>
  <c r="K25" i="26"/>
  <c r="K24" i="26"/>
  <c r="K23" i="26"/>
  <c r="F13" i="26"/>
  <c r="F11" i="26"/>
  <c r="F10" i="26"/>
  <c r="I4" i="26"/>
  <c r="C22" i="26"/>
  <c r="C17" i="26"/>
  <c r="I15" i="26"/>
  <c r="J15" i="26" s="1"/>
  <c r="F15" i="26"/>
  <c r="I14" i="26"/>
  <c r="F14" i="26"/>
  <c r="I13" i="26"/>
  <c r="I12" i="26"/>
  <c r="F12" i="26"/>
  <c r="I11" i="26"/>
  <c r="I10" i="26"/>
  <c r="I9" i="26"/>
  <c r="F9" i="26"/>
  <c r="I8" i="26"/>
  <c r="F8" i="26"/>
  <c r="I7" i="26"/>
  <c r="F7" i="26"/>
  <c r="I6" i="26"/>
  <c r="J6" i="26" s="1"/>
  <c r="F6" i="26"/>
  <c r="I5" i="26"/>
  <c r="F5" i="26"/>
  <c r="J5" i="26" s="1"/>
  <c r="F4" i="26"/>
  <c r="J16" i="32" l="1"/>
  <c r="J16" i="31"/>
  <c r="J16" i="30"/>
  <c r="J16" i="29"/>
  <c r="B23" i="29"/>
  <c r="B24" i="29" s="1"/>
  <c r="B23" i="28"/>
  <c r="B24" i="28" s="1"/>
  <c r="J16" i="28"/>
  <c r="J16" i="27"/>
  <c r="B24" i="27"/>
  <c r="B23" i="26"/>
  <c r="B24" i="26" s="1"/>
  <c r="J14" i="26"/>
  <c r="J11" i="26"/>
  <c r="J10" i="26"/>
  <c r="J9" i="26"/>
  <c r="J8" i="26"/>
  <c r="J7" i="26"/>
  <c r="J12" i="26"/>
  <c r="J13" i="26"/>
  <c r="J4" i="26"/>
  <c r="C22" i="25"/>
  <c r="D16" i="25"/>
  <c r="B27" i="25"/>
  <c r="H16" i="25"/>
  <c r="G16" i="25"/>
  <c r="E16" i="25"/>
  <c r="C16" i="25"/>
  <c r="C17" i="25" s="1"/>
  <c r="I15" i="25"/>
  <c r="F15" i="25"/>
  <c r="I14" i="25"/>
  <c r="F14" i="25"/>
  <c r="I13" i="25"/>
  <c r="F13" i="25"/>
  <c r="I12" i="25"/>
  <c r="F12" i="25"/>
  <c r="I11" i="25"/>
  <c r="F11" i="25"/>
  <c r="I10" i="25"/>
  <c r="F10" i="25"/>
  <c r="I9" i="25"/>
  <c r="F9" i="25"/>
  <c r="I8" i="25"/>
  <c r="F8" i="25"/>
  <c r="I7" i="25"/>
  <c r="F7" i="25"/>
  <c r="I6" i="25"/>
  <c r="F6" i="25"/>
  <c r="I5" i="25"/>
  <c r="F5" i="25"/>
  <c r="F16" i="25" s="1"/>
  <c r="I4" i="25"/>
  <c r="F4" i="25"/>
  <c r="F23" i="26" l="1"/>
  <c r="J11" i="25"/>
  <c r="K25" i="25"/>
  <c r="J10" i="25"/>
  <c r="J8" i="25"/>
  <c r="J15" i="25"/>
  <c r="J14" i="25"/>
  <c r="J13" i="25"/>
  <c r="J12" i="25"/>
  <c r="J9" i="25"/>
  <c r="J7" i="25"/>
  <c r="J6" i="25"/>
  <c r="J5" i="25"/>
  <c r="K23" i="25"/>
  <c r="J4" i="25"/>
  <c r="I16" i="25"/>
  <c r="F23" i="25" s="1"/>
  <c r="K24" i="25"/>
  <c r="D25" i="11"/>
  <c r="B27" i="24"/>
  <c r="H16" i="24"/>
  <c r="G16" i="24"/>
  <c r="E16" i="24"/>
  <c r="D16" i="24"/>
  <c r="C16" i="24"/>
  <c r="C17" i="24" s="1"/>
  <c r="I15" i="24"/>
  <c r="F15" i="24"/>
  <c r="I14" i="24"/>
  <c r="F14" i="24"/>
  <c r="I13" i="24"/>
  <c r="F13" i="24"/>
  <c r="I12" i="24"/>
  <c r="F12" i="24"/>
  <c r="I11" i="24"/>
  <c r="F11" i="24"/>
  <c r="I10" i="24"/>
  <c r="F10" i="24"/>
  <c r="I9" i="24"/>
  <c r="F9" i="24"/>
  <c r="I8" i="24"/>
  <c r="F8" i="24"/>
  <c r="I7" i="24"/>
  <c r="F7" i="24"/>
  <c r="I6" i="24"/>
  <c r="F6" i="24"/>
  <c r="I5" i="24"/>
  <c r="F5" i="24"/>
  <c r="I4" i="24"/>
  <c r="F4" i="24"/>
  <c r="H25" i="11" l="1"/>
  <c r="J16" i="25"/>
  <c r="B23" i="25"/>
  <c r="B24" i="25" s="1"/>
  <c r="F24" i="25"/>
  <c r="J14" i="24"/>
  <c r="J10" i="24"/>
  <c r="J6" i="24"/>
  <c r="K23" i="24"/>
  <c r="J15" i="24"/>
  <c r="J13" i="24"/>
  <c r="J12" i="24"/>
  <c r="J11" i="24"/>
  <c r="J9" i="24"/>
  <c r="J8" i="24"/>
  <c r="J7" i="24"/>
  <c r="F16" i="24"/>
  <c r="D27" i="24" s="1"/>
  <c r="J5" i="24"/>
  <c r="K24" i="24"/>
  <c r="K25" i="24"/>
  <c r="J4" i="24"/>
  <c r="I16" i="24"/>
  <c r="E25" i="11" s="1"/>
  <c r="D24" i="11"/>
  <c r="C24" i="11"/>
  <c r="B24" i="11"/>
  <c r="B20" i="22"/>
  <c r="B27" i="22"/>
  <c r="G30" i="22"/>
  <c r="F30" i="22"/>
  <c r="H16" i="22"/>
  <c r="G16" i="22"/>
  <c r="E16" i="22"/>
  <c r="D16" i="22"/>
  <c r="C16" i="22"/>
  <c r="C17" i="22" s="1"/>
  <c r="I15" i="22"/>
  <c r="F15" i="22"/>
  <c r="I14" i="22"/>
  <c r="F14" i="22"/>
  <c r="I13" i="22"/>
  <c r="F13" i="22"/>
  <c r="I12" i="22"/>
  <c r="F12" i="22"/>
  <c r="I11" i="22"/>
  <c r="F11" i="22"/>
  <c r="I10" i="22"/>
  <c r="F10" i="22"/>
  <c r="I9" i="22"/>
  <c r="F9" i="22"/>
  <c r="I8" i="22"/>
  <c r="F8" i="22"/>
  <c r="I7" i="22"/>
  <c r="F7" i="22"/>
  <c r="I6" i="22"/>
  <c r="F6" i="22"/>
  <c r="I5" i="22"/>
  <c r="F5" i="22"/>
  <c r="I4" i="22"/>
  <c r="F4" i="22"/>
  <c r="H24" i="11" l="1"/>
  <c r="J16" i="24"/>
  <c r="F23" i="24"/>
  <c r="B23" i="24"/>
  <c r="B24" i="24" s="1"/>
  <c r="F24" i="24"/>
  <c r="J10" i="22"/>
  <c r="J6" i="22"/>
  <c r="J15" i="22"/>
  <c r="J14" i="22"/>
  <c r="J13" i="22"/>
  <c r="J12" i="22"/>
  <c r="J11" i="22"/>
  <c r="J9" i="22"/>
  <c r="J8" i="22"/>
  <c r="J7" i="22"/>
  <c r="J5" i="22"/>
  <c r="K23" i="22"/>
  <c r="K25" i="22"/>
  <c r="K24" i="22"/>
  <c r="F16" i="22"/>
  <c r="D27" i="22" s="1"/>
  <c r="J4" i="22"/>
  <c r="I16" i="22"/>
  <c r="J23" i="11"/>
  <c r="C23" i="11"/>
  <c r="B22" i="11"/>
  <c r="B28" i="21"/>
  <c r="J22" i="11" s="1"/>
  <c r="F5" i="21"/>
  <c r="F30" i="21"/>
  <c r="G30" i="21" s="1"/>
  <c r="C27" i="21"/>
  <c r="D22" i="11" s="1"/>
  <c r="B22" i="21"/>
  <c r="C21" i="21"/>
  <c r="C20" i="21"/>
  <c r="C22" i="11" s="1"/>
  <c r="H16" i="21"/>
  <c r="G16" i="21"/>
  <c r="E16" i="21"/>
  <c r="D16" i="21"/>
  <c r="C16" i="21"/>
  <c r="C17" i="21" s="1"/>
  <c r="I15" i="21"/>
  <c r="F15" i="21"/>
  <c r="I14" i="21"/>
  <c r="F14" i="21"/>
  <c r="I13" i="21"/>
  <c r="F13" i="21"/>
  <c r="I12" i="21"/>
  <c r="F12" i="21"/>
  <c r="I11" i="21"/>
  <c r="F11" i="21"/>
  <c r="I10" i="21"/>
  <c r="F10" i="21"/>
  <c r="I9" i="21"/>
  <c r="F9" i="21"/>
  <c r="I8" i="21"/>
  <c r="F8" i="21"/>
  <c r="I7" i="21"/>
  <c r="J7" i="21" s="1"/>
  <c r="F7" i="21"/>
  <c r="I6" i="21"/>
  <c r="F6" i="21"/>
  <c r="I5" i="21"/>
  <c r="I4" i="21"/>
  <c r="F4" i="21"/>
  <c r="C27" i="20"/>
  <c r="D23" i="11" s="1"/>
  <c r="B22" i="20"/>
  <c r="C21" i="20"/>
  <c r="B23" i="11" s="1"/>
  <c r="C20" i="20"/>
  <c r="B28" i="20"/>
  <c r="F30" i="20"/>
  <c r="G30" i="20" s="1"/>
  <c r="H16" i="20"/>
  <c r="G16" i="20"/>
  <c r="E16" i="20"/>
  <c r="D16" i="20"/>
  <c r="C16" i="20"/>
  <c r="C17" i="20" s="1"/>
  <c r="I15" i="20"/>
  <c r="F15" i="20"/>
  <c r="I14" i="20"/>
  <c r="F14" i="20"/>
  <c r="I13" i="20"/>
  <c r="F13" i="20"/>
  <c r="I12" i="20"/>
  <c r="F12" i="20"/>
  <c r="I11" i="20"/>
  <c r="F11" i="20"/>
  <c r="I10" i="20"/>
  <c r="F10" i="20"/>
  <c r="J10" i="20" s="1"/>
  <c r="I9" i="20"/>
  <c r="F9" i="20"/>
  <c r="I8" i="20"/>
  <c r="F8" i="20"/>
  <c r="I7" i="20"/>
  <c r="F7" i="20"/>
  <c r="I6" i="20"/>
  <c r="F6" i="20"/>
  <c r="I5" i="20"/>
  <c r="F5" i="20"/>
  <c r="I4" i="20"/>
  <c r="F4" i="20"/>
  <c r="F16" i="20" s="1"/>
  <c r="D27" i="20" l="1"/>
  <c r="H23" i="11"/>
  <c r="J14" i="21"/>
  <c r="E24" i="11"/>
  <c r="F24" i="11" s="1"/>
  <c r="B23" i="22"/>
  <c r="K24" i="20"/>
  <c r="J15" i="21"/>
  <c r="J16" i="22"/>
  <c r="F23" i="22"/>
  <c r="J13" i="21"/>
  <c r="J12" i="21"/>
  <c r="J11" i="21"/>
  <c r="J10" i="21"/>
  <c r="J9" i="21"/>
  <c r="J8" i="21"/>
  <c r="K23" i="21"/>
  <c r="J6" i="21"/>
  <c r="J5" i="21"/>
  <c r="F16" i="21"/>
  <c r="K24" i="21"/>
  <c r="C22" i="21"/>
  <c r="J4" i="21"/>
  <c r="I16" i="21"/>
  <c r="K25" i="21"/>
  <c r="C22" i="20"/>
  <c r="J15" i="20"/>
  <c r="J14" i="20"/>
  <c r="J13" i="20"/>
  <c r="J12" i="20"/>
  <c r="J11" i="20"/>
  <c r="J9" i="20"/>
  <c r="K23" i="20"/>
  <c r="J8" i="20"/>
  <c r="I16" i="20"/>
  <c r="J7" i="20"/>
  <c r="J6" i="20"/>
  <c r="K25" i="20"/>
  <c r="J5" i="20"/>
  <c r="J4" i="20"/>
  <c r="F20" i="11"/>
  <c r="B28" i="18"/>
  <c r="G30" i="18"/>
  <c r="F30" i="18"/>
  <c r="B27" i="18"/>
  <c r="C22" i="18"/>
  <c r="B21" i="18"/>
  <c r="B20" i="18"/>
  <c r="H16" i="18"/>
  <c r="G16" i="18"/>
  <c r="E16" i="18"/>
  <c r="D16" i="18"/>
  <c r="C16" i="18"/>
  <c r="C17" i="18" s="1"/>
  <c r="I15" i="18"/>
  <c r="F15" i="18"/>
  <c r="I14" i="18"/>
  <c r="F14" i="18"/>
  <c r="I13" i="18"/>
  <c r="F13" i="18"/>
  <c r="I12" i="18"/>
  <c r="F12" i="18"/>
  <c r="I11" i="18"/>
  <c r="F11" i="18"/>
  <c r="I10" i="18"/>
  <c r="J10" i="18" s="1"/>
  <c r="F10" i="18"/>
  <c r="I9" i="18"/>
  <c r="F9" i="18"/>
  <c r="I8" i="18"/>
  <c r="F8" i="18"/>
  <c r="I7" i="18"/>
  <c r="K24" i="18" s="1"/>
  <c r="F7" i="18"/>
  <c r="I6" i="18"/>
  <c r="F6" i="18"/>
  <c r="I5" i="18"/>
  <c r="F5" i="18"/>
  <c r="I4" i="18"/>
  <c r="F4" i="18"/>
  <c r="D27" i="21" l="1"/>
  <c r="H22" i="11"/>
  <c r="B24" i="20"/>
  <c r="E23" i="11"/>
  <c r="F23" i="11" s="1"/>
  <c r="B23" i="20"/>
  <c r="J16" i="21"/>
  <c r="B23" i="21"/>
  <c r="B24" i="21" s="1"/>
  <c r="E22" i="11"/>
  <c r="F22" i="11" s="1"/>
  <c r="F24" i="21"/>
  <c r="F23" i="21"/>
  <c r="F23" i="20"/>
  <c r="F24" i="20"/>
  <c r="J16" i="20"/>
  <c r="B22" i="18"/>
  <c r="J15" i="18"/>
  <c r="J7" i="18"/>
  <c r="K23" i="18"/>
  <c r="K25" i="18"/>
  <c r="J14" i="18"/>
  <c r="J12" i="18"/>
  <c r="J6" i="18"/>
  <c r="J8" i="18"/>
  <c r="J9" i="18"/>
  <c r="J13" i="18"/>
  <c r="J11" i="18"/>
  <c r="J5" i="18"/>
  <c r="F16" i="18"/>
  <c r="D27" i="18" s="1"/>
  <c r="J4" i="18"/>
  <c r="I16" i="18"/>
  <c r="B23" i="18" s="1"/>
  <c r="F30" i="17"/>
  <c r="G30" i="17" s="1"/>
  <c r="B27" i="17"/>
  <c r="C22" i="17"/>
  <c r="B21" i="17"/>
  <c r="B20" i="17"/>
  <c r="B22" i="17" s="1"/>
  <c r="H16" i="17"/>
  <c r="G16" i="17"/>
  <c r="E16" i="17"/>
  <c r="D16" i="17"/>
  <c r="C16" i="17"/>
  <c r="C17" i="17" s="1"/>
  <c r="I15" i="17"/>
  <c r="J15" i="17" s="1"/>
  <c r="F15" i="17"/>
  <c r="I14" i="17"/>
  <c r="F14" i="17"/>
  <c r="I13" i="17"/>
  <c r="J13" i="17" s="1"/>
  <c r="F13" i="17"/>
  <c r="I12" i="17"/>
  <c r="J12" i="17" s="1"/>
  <c r="F12" i="17"/>
  <c r="I11" i="17"/>
  <c r="F11" i="17"/>
  <c r="I10" i="17"/>
  <c r="J10" i="17" s="1"/>
  <c r="F10" i="17"/>
  <c r="I9" i="17"/>
  <c r="F9" i="17"/>
  <c r="I8" i="17"/>
  <c r="J8" i="17" s="1"/>
  <c r="F8" i="17"/>
  <c r="I7" i="17"/>
  <c r="J7" i="17" s="1"/>
  <c r="F7" i="17"/>
  <c r="I6" i="17"/>
  <c r="F6" i="17"/>
  <c r="I5" i="17"/>
  <c r="F5" i="17"/>
  <c r="F16" i="17" s="1"/>
  <c r="D27" i="17" s="1"/>
  <c r="I4" i="17"/>
  <c r="K25" i="17" s="1"/>
  <c r="F4" i="17"/>
  <c r="J9" i="17" l="1"/>
  <c r="K23" i="17"/>
  <c r="J14" i="17"/>
  <c r="J4" i="17"/>
  <c r="J6" i="17"/>
  <c r="J11" i="17"/>
  <c r="J16" i="18"/>
  <c r="F23" i="18"/>
  <c r="B24" i="18"/>
  <c r="F24" i="18"/>
  <c r="J5" i="17"/>
  <c r="K24" i="17"/>
  <c r="I16" i="17"/>
  <c r="D19" i="11"/>
  <c r="C19" i="11"/>
  <c r="B19" i="11"/>
  <c r="B27" i="16"/>
  <c r="B21" i="16"/>
  <c r="B20" i="16"/>
  <c r="C22" i="16"/>
  <c r="C17" i="16"/>
  <c r="H16" i="16"/>
  <c r="G16" i="16"/>
  <c r="E16" i="16"/>
  <c r="D16" i="16"/>
  <c r="C16" i="16"/>
  <c r="I15" i="16"/>
  <c r="F15" i="16"/>
  <c r="J15" i="16" s="1"/>
  <c r="I14" i="16"/>
  <c r="F14" i="16"/>
  <c r="I13" i="16"/>
  <c r="F13" i="16"/>
  <c r="I12" i="16"/>
  <c r="F12" i="16"/>
  <c r="I11" i="16"/>
  <c r="F11" i="16"/>
  <c r="I10" i="16"/>
  <c r="F10" i="16"/>
  <c r="I9" i="16"/>
  <c r="F9" i="16"/>
  <c r="I8" i="16"/>
  <c r="F8" i="16"/>
  <c r="I7" i="16"/>
  <c r="F7" i="16"/>
  <c r="I6" i="16"/>
  <c r="K25" i="16" s="1"/>
  <c r="F6" i="16"/>
  <c r="I5" i="16"/>
  <c r="F5" i="16"/>
  <c r="I4" i="16"/>
  <c r="F4" i="16"/>
  <c r="J16" i="17" l="1"/>
  <c r="J4" i="16"/>
  <c r="B23" i="17"/>
  <c r="B24" i="17" s="1"/>
  <c r="F24" i="17"/>
  <c r="F23" i="17"/>
  <c r="B22" i="16"/>
  <c r="J12" i="16"/>
  <c r="J10" i="16"/>
  <c r="K24" i="16"/>
  <c r="J7" i="16"/>
  <c r="J14" i="16"/>
  <c r="J13" i="16"/>
  <c r="J11" i="16"/>
  <c r="J9" i="16"/>
  <c r="J8" i="16"/>
  <c r="J6" i="16"/>
  <c r="J5" i="16"/>
  <c r="F16" i="16"/>
  <c r="I16" i="16"/>
  <c r="K23" i="16"/>
  <c r="F16" i="11"/>
  <c r="F17" i="11"/>
  <c r="F18" i="11"/>
  <c r="E19" i="11" l="1"/>
  <c r="F19" i="11" s="1"/>
  <c r="B23" i="16"/>
  <c r="B24" i="16" s="1"/>
  <c r="H19" i="11"/>
  <c r="D27" i="16"/>
  <c r="J16" i="16"/>
  <c r="F23" i="16"/>
  <c r="F24" i="16"/>
  <c r="C27" i="15"/>
  <c r="B22" i="15"/>
  <c r="C21" i="15"/>
  <c r="C20" i="15"/>
  <c r="H16" i="15"/>
  <c r="G16" i="15"/>
  <c r="E16" i="15"/>
  <c r="D16" i="15"/>
  <c r="C16" i="15"/>
  <c r="C17" i="15" s="1"/>
  <c r="I15" i="15"/>
  <c r="F15" i="15"/>
  <c r="I14" i="15"/>
  <c r="F14" i="15"/>
  <c r="I13" i="15"/>
  <c r="F13" i="15"/>
  <c r="I12" i="15"/>
  <c r="F12" i="15"/>
  <c r="J12" i="15" s="1"/>
  <c r="I11" i="15"/>
  <c r="F11" i="15"/>
  <c r="I10" i="15"/>
  <c r="F10" i="15"/>
  <c r="J10" i="15" s="1"/>
  <c r="I9" i="15"/>
  <c r="F9" i="15"/>
  <c r="I8" i="15"/>
  <c r="F8" i="15"/>
  <c r="I7" i="15"/>
  <c r="F7" i="15"/>
  <c r="I6" i="15"/>
  <c r="F6" i="15"/>
  <c r="I5" i="15"/>
  <c r="F5" i="15"/>
  <c r="I4" i="15"/>
  <c r="F4" i="15"/>
  <c r="F16" i="15" l="1"/>
  <c r="K23" i="15"/>
  <c r="K25" i="15"/>
  <c r="K24" i="15"/>
  <c r="C22" i="15"/>
  <c r="J11" i="15"/>
  <c r="J13" i="15"/>
  <c r="J8" i="15"/>
  <c r="J7" i="15"/>
  <c r="J4" i="15"/>
  <c r="J9" i="15"/>
  <c r="J5" i="15"/>
  <c r="J6" i="15"/>
  <c r="J14" i="15"/>
  <c r="D27" i="15"/>
  <c r="J15" i="15"/>
  <c r="I16" i="15"/>
  <c r="B23" i="15" l="1"/>
  <c r="B24" i="15" s="1"/>
  <c r="J16" i="15"/>
  <c r="F23" i="15"/>
  <c r="F24" i="15"/>
  <c r="C27" i="14" l="1"/>
  <c r="B22" i="14"/>
  <c r="C21" i="14"/>
  <c r="C20" i="14"/>
  <c r="H16" i="14"/>
  <c r="G16" i="14"/>
  <c r="E16" i="14"/>
  <c r="D16" i="14"/>
  <c r="C16" i="14"/>
  <c r="C17" i="14" s="1"/>
  <c r="I15" i="14"/>
  <c r="F15" i="14"/>
  <c r="I14" i="14"/>
  <c r="F14" i="14"/>
  <c r="I13" i="14"/>
  <c r="F13" i="14"/>
  <c r="I12" i="14"/>
  <c r="F12" i="14"/>
  <c r="I11" i="14"/>
  <c r="F11" i="14"/>
  <c r="I10" i="14"/>
  <c r="F10" i="14"/>
  <c r="I9" i="14"/>
  <c r="F9" i="14"/>
  <c r="I8" i="14"/>
  <c r="F8" i="14"/>
  <c r="I7" i="14"/>
  <c r="F7" i="14"/>
  <c r="I6" i="14"/>
  <c r="F6" i="14"/>
  <c r="I5" i="14"/>
  <c r="F5" i="14"/>
  <c r="I4" i="14"/>
  <c r="F4" i="14"/>
  <c r="K24" i="14" l="1"/>
  <c r="C22" i="14"/>
  <c r="J12" i="14"/>
  <c r="J10" i="14"/>
  <c r="K25" i="14"/>
  <c r="J4" i="14"/>
  <c r="J15" i="14"/>
  <c r="J14" i="14"/>
  <c r="J13" i="14"/>
  <c r="J11" i="14"/>
  <c r="J9" i="14"/>
  <c r="J8" i="14"/>
  <c r="J7" i="14"/>
  <c r="J6" i="14"/>
  <c r="J5" i="14"/>
  <c r="F16" i="14"/>
  <c r="D27" i="14" s="1"/>
  <c r="I16" i="14"/>
  <c r="B23" i="14" s="1"/>
  <c r="B24" i="14" s="1"/>
  <c r="K23" i="14"/>
  <c r="C27" i="13"/>
  <c r="B22" i="13"/>
  <c r="C21" i="13"/>
  <c r="C20" i="13"/>
  <c r="C17" i="13"/>
  <c r="H16" i="13"/>
  <c r="G16" i="13"/>
  <c r="E16" i="13"/>
  <c r="D16" i="13"/>
  <c r="C16" i="13"/>
  <c r="I15" i="13"/>
  <c r="F15" i="13"/>
  <c r="I14" i="13"/>
  <c r="F14" i="13"/>
  <c r="I13" i="13"/>
  <c r="F13" i="13"/>
  <c r="I12" i="13"/>
  <c r="F12" i="13"/>
  <c r="I11" i="13"/>
  <c r="F11" i="13"/>
  <c r="I10" i="13"/>
  <c r="F10" i="13"/>
  <c r="I9" i="13"/>
  <c r="F9" i="13"/>
  <c r="I8" i="13"/>
  <c r="F8" i="13"/>
  <c r="I7" i="13"/>
  <c r="F7" i="13"/>
  <c r="I6" i="13"/>
  <c r="F6" i="13"/>
  <c r="I5" i="13"/>
  <c r="F5" i="13"/>
  <c r="I4" i="13"/>
  <c r="F4" i="13"/>
  <c r="K23" i="13" l="1"/>
  <c r="F16" i="13"/>
  <c r="D27" i="13" s="1"/>
  <c r="K25" i="13"/>
  <c r="I16" i="13"/>
  <c r="B23" i="13" s="1"/>
  <c r="B24" i="13" s="1"/>
  <c r="F23" i="14"/>
  <c r="J16" i="14"/>
  <c r="F24" i="14"/>
  <c r="C22" i="13"/>
  <c r="J10" i="13"/>
  <c r="J12" i="13"/>
  <c r="J4" i="13"/>
  <c r="K24" i="13"/>
  <c r="J8" i="13"/>
  <c r="J15" i="13"/>
  <c r="J11" i="13"/>
  <c r="J7" i="13"/>
  <c r="J14" i="13"/>
  <c r="J9" i="13"/>
  <c r="J6" i="13"/>
  <c r="J13" i="13"/>
  <c r="J5" i="13"/>
  <c r="J16" i="13" l="1"/>
  <c r="F23" i="13"/>
  <c r="F24" i="13"/>
  <c r="D15" i="11"/>
  <c r="J15" i="11"/>
  <c r="C27" i="12"/>
  <c r="F5" i="12"/>
  <c r="F6" i="12"/>
  <c r="F7" i="12"/>
  <c r="F8" i="12"/>
  <c r="F9" i="12"/>
  <c r="F10" i="12"/>
  <c r="F11" i="12"/>
  <c r="F12" i="12"/>
  <c r="F13" i="12"/>
  <c r="F14" i="12"/>
  <c r="F15" i="12"/>
  <c r="F4" i="12"/>
  <c r="F16" i="12" s="1"/>
  <c r="B22" i="12"/>
  <c r="C21" i="12"/>
  <c r="C20" i="12"/>
  <c r="H16" i="12"/>
  <c r="G16" i="12"/>
  <c r="E16" i="12"/>
  <c r="D16" i="12"/>
  <c r="C16" i="12"/>
  <c r="I15" i="12"/>
  <c r="I14" i="12"/>
  <c r="J14" i="12" s="1"/>
  <c r="I13" i="12"/>
  <c r="J13" i="12" s="1"/>
  <c r="I12" i="12"/>
  <c r="J12" i="12" s="1"/>
  <c r="I11" i="12"/>
  <c r="I10" i="12"/>
  <c r="I9" i="12"/>
  <c r="J9" i="12" s="1"/>
  <c r="I8" i="12"/>
  <c r="J8" i="12" s="1"/>
  <c r="I7" i="12"/>
  <c r="J7" i="12" s="1"/>
  <c r="I6" i="12"/>
  <c r="J6" i="12" s="1"/>
  <c r="I5" i="12"/>
  <c r="J5" i="12" s="1"/>
  <c r="I4" i="12"/>
  <c r="J11" i="12" l="1"/>
  <c r="J15" i="12"/>
  <c r="D27" i="12"/>
  <c r="H15" i="11"/>
  <c r="C22" i="12"/>
  <c r="K24" i="12"/>
  <c r="J10" i="12"/>
  <c r="C17" i="12"/>
  <c r="I16" i="12"/>
  <c r="K25" i="12"/>
  <c r="J4" i="12"/>
  <c r="J16" i="12" s="1"/>
  <c r="F23" i="12"/>
  <c r="K23" i="12"/>
  <c r="J13" i="11"/>
  <c r="D13" i="11"/>
  <c r="J12" i="11"/>
  <c r="J11" i="11"/>
  <c r="C11" i="11"/>
  <c r="B11" i="11"/>
  <c r="C13" i="1"/>
  <c r="B17" i="1"/>
  <c r="B23" i="12" l="1"/>
  <c r="B24" i="12" s="1"/>
  <c r="E15" i="11"/>
  <c r="F15" i="11" s="1"/>
  <c r="F24" i="12"/>
  <c r="I5" i="7"/>
  <c r="I6" i="7"/>
  <c r="J6" i="7" s="1"/>
  <c r="I7" i="7"/>
  <c r="J7" i="7" s="1"/>
  <c r="I8" i="7"/>
  <c r="J8" i="7" s="1"/>
  <c r="I9" i="7"/>
  <c r="I10" i="7"/>
  <c r="J10" i="7" s="1"/>
  <c r="I11" i="7"/>
  <c r="J11" i="7" s="1"/>
  <c r="I12" i="7"/>
  <c r="J12" i="7" s="1"/>
  <c r="I13" i="7"/>
  <c r="I14" i="7"/>
  <c r="J14" i="7" s="1"/>
  <c r="I15" i="7"/>
  <c r="J15" i="7" s="1"/>
  <c r="G16" i="7"/>
  <c r="H16" i="7"/>
  <c r="D16" i="7"/>
  <c r="F5" i="7"/>
  <c r="J5" i="7" s="1"/>
  <c r="F6" i="7"/>
  <c r="F7" i="7"/>
  <c r="F8" i="7"/>
  <c r="F9" i="7"/>
  <c r="J9" i="7" s="1"/>
  <c r="F10" i="7"/>
  <c r="F11" i="7"/>
  <c r="F12" i="7"/>
  <c r="F13" i="7"/>
  <c r="J13" i="7" s="1"/>
  <c r="F14" i="7"/>
  <c r="F15" i="7"/>
  <c r="F4" i="7"/>
  <c r="F16" i="7" s="1"/>
  <c r="H13" i="11" s="1"/>
  <c r="E16" i="7"/>
  <c r="C16" i="7"/>
  <c r="D27" i="7" s="1"/>
  <c r="B22" i="7"/>
  <c r="C21" i="7"/>
  <c r="B13" i="11" s="1"/>
  <c r="C20" i="7"/>
  <c r="C13" i="11" s="1"/>
  <c r="C17" i="7"/>
  <c r="I4" i="7"/>
  <c r="J4" i="7" s="1"/>
  <c r="J16" i="7" l="1"/>
  <c r="I16" i="7"/>
  <c r="K25" i="7"/>
  <c r="K24" i="7"/>
  <c r="K23" i="7"/>
  <c r="C22" i="7"/>
  <c r="F24" i="7" s="1"/>
  <c r="E13" i="11" l="1"/>
  <c r="F13" i="11" s="1"/>
  <c r="B23" i="7"/>
  <c r="B24" i="7" s="1"/>
  <c r="F23" i="7"/>
  <c r="B20" i="10"/>
  <c r="D14" i="10"/>
  <c r="C19" i="10"/>
  <c r="B12" i="11" s="1"/>
  <c r="C18" i="10"/>
  <c r="D25" i="10"/>
  <c r="I4" i="10"/>
  <c r="I14" i="10" s="1"/>
  <c r="G14" i="10"/>
  <c r="H14" i="10"/>
  <c r="C14" i="10"/>
  <c r="C15" i="10" s="1"/>
  <c r="C25" i="10"/>
  <c r="E14" i="10"/>
  <c r="I13" i="10"/>
  <c r="J13" i="10" s="1"/>
  <c r="I12" i="10"/>
  <c r="J12" i="10" s="1"/>
  <c r="I10" i="10"/>
  <c r="J10" i="10" s="1"/>
  <c r="I9" i="10"/>
  <c r="J9" i="10" s="1"/>
  <c r="I5" i="10"/>
  <c r="J5" i="10" s="1"/>
  <c r="E12" i="11" l="1"/>
  <c r="F12" i="11" s="1"/>
  <c r="D21" i="10"/>
  <c r="H21" i="10"/>
  <c r="C12" i="11"/>
  <c r="D12" i="11"/>
  <c r="H12" i="11"/>
  <c r="C20" i="10"/>
  <c r="H22" i="10" s="1"/>
  <c r="D22" i="10"/>
  <c r="K21" i="10"/>
  <c r="K22" i="10"/>
  <c r="K23" i="10"/>
  <c r="J4" i="10"/>
  <c r="J14" i="10" s="1"/>
  <c r="H14" i="9"/>
  <c r="J7" i="9"/>
  <c r="J11" i="9"/>
  <c r="I5" i="9"/>
  <c r="J5" i="9" s="1"/>
  <c r="I6" i="9"/>
  <c r="J6" i="9" s="1"/>
  <c r="I7" i="9"/>
  <c r="I8" i="9"/>
  <c r="J8" i="9" s="1"/>
  <c r="I9" i="9"/>
  <c r="J9" i="9" s="1"/>
  <c r="I10" i="9"/>
  <c r="J10" i="9" s="1"/>
  <c r="I11" i="9"/>
  <c r="I12" i="9"/>
  <c r="J12" i="9" s="1"/>
  <c r="I13" i="9"/>
  <c r="J13" i="9" s="1"/>
  <c r="I4" i="9"/>
  <c r="J4" i="9" s="1"/>
  <c r="J14" i="9" s="1"/>
  <c r="C25" i="9"/>
  <c r="D11" i="11" s="1"/>
  <c r="B20" i="9"/>
  <c r="G14" i="9"/>
  <c r="E14" i="9"/>
  <c r="D14" i="9"/>
  <c r="C14" i="9"/>
  <c r="H11" i="11" s="1"/>
  <c r="D25" i="9" l="1"/>
  <c r="K21" i="9"/>
  <c r="C15" i="9"/>
  <c r="K22" i="9"/>
  <c r="K23" i="9"/>
  <c r="I14" i="9"/>
  <c r="C20" i="9"/>
  <c r="H22" i="9" s="1"/>
  <c r="D21" i="9" l="1"/>
  <c r="D22" i="9" s="1"/>
  <c r="E11" i="11"/>
  <c r="F11" i="11" s="1"/>
  <c r="H21" i="9"/>
  <c r="C15" i="8"/>
  <c r="D14" i="6"/>
  <c r="D25" i="8"/>
  <c r="G14" i="8"/>
  <c r="H14" i="8"/>
  <c r="E14" i="8"/>
  <c r="D14" i="8"/>
  <c r="C14" i="8"/>
  <c r="I5" i="8"/>
  <c r="I6" i="8"/>
  <c r="I7" i="8"/>
  <c r="I8" i="8"/>
  <c r="J16" i="8" s="1"/>
  <c r="I9" i="8"/>
  <c r="I10" i="8"/>
  <c r="I11" i="8"/>
  <c r="I12" i="8"/>
  <c r="I13" i="8"/>
  <c r="C25" i="8"/>
  <c r="D10" i="11" s="1"/>
  <c r="B20" i="8"/>
  <c r="C19" i="8"/>
  <c r="B10" i="11" s="1"/>
  <c r="C18" i="8"/>
  <c r="C10" i="11" s="1"/>
  <c r="F13" i="8"/>
  <c r="F12" i="8"/>
  <c r="F11" i="8"/>
  <c r="F10" i="8"/>
  <c r="F9" i="8"/>
  <c r="F8" i="8"/>
  <c r="F7" i="8"/>
  <c r="F6" i="8"/>
  <c r="F5" i="8"/>
  <c r="I4" i="8"/>
  <c r="F4" i="8"/>
  <c r="F14" i="8" s="1"/>
  <c r="H10" i="11" s="1"/>
  <c r="J17" i="8" l="1"/>
  <c r="J4" i="8"/>
  <c r="I14" i="8"/>
  <c r="E10" i="11" s="1"/>
  <c r="F10" i="11" s="1"/>
  <c r="J18" i="8"/>
  <c r="J11" i="8"/>
  <c r="J6" i="8"/>
  <c r="J10" i="8"/>
  <c r="J13" i="8"/>
  <c r="J12" i="8"/>
  <c r="J9" i="8"/>
  <c r="J8" i="8"/>
  <c r="J7" i="8"/>
  <c r="J5" i="8"/>
  <c r="C20" i="8"/>
  <c r="H22" i="8" s="1"/>
  <c r="B19" i="3"/>
  <c r="B20" i="6"/>
  <c r="I3" i="6"/>
  <c r="I4" i="6"/>
  <c r="J4" i="6" s="1"/>
  <c r="I5" i="6"/>
  <c r="I6" i="6"/>
  <c r="I7" i="6"/>
  <c r="I8" i="6"/>
  <c r="J8" i="6" s="1"/>
  <c r="I9" i="6"/>
  <c r="J9" i="6" s="1"/>
  <c r="I10" i="6"/>
  <c r="I11" i="6"/>
  <c r="I12" i="6"/>
  <c r="J12" i="6" s="1"/>
  <c r="I13" i="6"/>
  <c r="G14" i="6"/>
  <c r="H14" i="6"/>
  <c r="E14" i="6"/>
  <c r="C14" i="6"/>
  <c r="F13" i="6"/>
  <c r="F12" i="6"/>
  <c r="F11" i="6"/>
  <c r="C25" i="6"/>
  <c r="D9" i="11" s="1"/>
  <c r="C19" i="6"/>
  <c r="B9" i="11" s="1"/>
  <c r="C18" i="6"/>
  <c r="C9" i="11" s="1"/>
  <c r="F10" i="6"/>
  <c r="F9" i="6"/>
  <c r="F8" i="6"/>
  <c r="F7" i="6"/>
  <c r="F6" i="6"/>
  <c r="F5" i="6"/>
  <c r="F4" i="6"/>
  <c r="F3" i="6"/>
  <c r="I2" i="6"/>
  <c r="I14" i="6" s="1"/>
  <c r="E9" i="11" s="1"/>
  <c r="F9" i="11" s="1"/>
  <c r="F2" i="6"/>
  <c r="J11" i="6" l="1"/>
  <c r="J7" i="6"/>
  <c r="J3" i="6"/>
  <c r="C20" i="6"/>
  <c r="H22" i="6" s="1"/>
  <c r="J10" i="6"/>
  <c r="J6" i="6"/>
  <c r="J14" i="8"/>
  <c r="J13" i="6"/>
  <c r="J5" i="6"/>
  <c r="D21" i="8"/>
  <c r="D22" i="8" s="1"/>
  <c r="H21" i="8"/>
  <c r="D21" i="6"/>
  <c r="D22" i="6" s="1"/>
  <c r="N17" i="6"/>
  <c r="J2" i="6"/>
  <c r="N18" i="6"/>
  <c r="F14" i="6"/>
  <c r="H9" i="11" s="1"/>
  <c r="N16" i="6"/>
  <c r="J14" i="6" l="1"/>
  <c r="H21" i="6"/>
  <c r="F3" i="3"/>
  <c r="F4" i="3"/>
  <c r="F5" i="3"/>
  <c r="F6" i="3"/>
  <c r="F7" i="3"/>
  <c r="F8" i="3"/>
  <c r="F9" i="3"/>
  <c r="F10" i="3"/>
  <c r="F2" i="3"/>
  <c r="C24" i="3"/>
  <c r="D8" i="11" s="1"/>
  <c r="C18" i="3"/>
  <c r="B8" i="11" s="1"/>
  <c r="C17" i="3"/>
  <c r="H13" i="3"/>
  <c r="G13" i="3"/>
  <c r="E13" i="3"/>
  <c r="D13" i="3"/>
  <c r="C13" i="3"/>
  <c r="I10" i="3"/>
  <c r="I9" i="3"/>
  <c r="I8" i="3"/>
  <c r="I7" i="3"/>
  <c r="I6" i="3"/>
  <c r="I5" i="3"/>
  <c r="I4" i="3"/>
  <c r="N16" i="3" s="1"/>
  <c r="I3" i="3"/>
  <c r="I2" i="3"/>
  <c r="N15" i="3" s="1"/>
  <c r="N17" i="3" l="1"/>
  <c r="C8" i="11"/>
  <c r="C19" i="3"/>
  <c r="J6" i="3"/>
  <c r="J3" i="3"/>
  <c r="J4" i="3"/>
  <c r="J10" i="3"/>
  <c r="J7" i="3"/>
  <c r="F13" i="3"/>
  <c r="H8" i="11" s="1"/>
  <c r="J8" i="3"/>
  <c r="J5" i="3"/>
  <c r="J2" i="3"/>
  <c r="J13" i="3" s="1"/>
  <c r="J9" i="3"/>
  <c r="I13" i="3"/>
  <c r="E8" i="11" s="1"/>
  <c r="F8" i="11" s="1"/>
  <c r="H21" i="3" l="1"/>
  <c r="D20" i="3"/>
  <c r="D21" i="3" s="1"/>
  <c r="H20" i="3"/>
  <c r="D13" i="2"/>
  <c r="E13" i="2"/>
  <c r="G13" i="2"/>
  <c r="H13" i="2"/>
  <c r="C13" i="2"/>
  <c r="J7" i="2"/>
  <c r="J11" i="2"/>
  <c r="I3" i="2"/>
  <c r="J3" i="2" s="1"/>
  <c r="I4" i="2"/>
  <c r="I5" i="2"/>
  <c r="I6" i="2"/>
  <c r="J6" i="2" s="1"/>
  <c r="I7" i="2"/>
  <c r="I8" i="2"/>
  <c r="J8" i="2" s="1"/>
  <c r="I9" i="2"/>
  <c r="J9" i="2" s="1"/>
  <c r="I10" i="2"/>
  <c r="J10" i="2" s="1"/>
  <c r="I11" i="2"/>
  <c r="F11" i="2"/>
  <c r="F10" i="2"/>
  <c r="F9" i="2"/>
  <c r="F8" i="2"/>
  <c r="F7" i="2"/>
  <c r="C23" i="2"/>
  <c r="D6" i="11" s="1"/>
  <c r="C18" i="2"/>
  <c r="B6" i="11" s="1"/>
  <c r="C17" i="2"/>
  <c r="C6" i="11" s="1"/>
  <c r="F6" i="2"/>
  <c r="F5" i="2"/>
  <c r="J5" i="2" s="1"/>
  <c r="F4" i="2"/>
  <c r="J4" i="2" s="1"/>
  <c r="F3" i="2"/>
  <c r="F13" i="2" s="1"/>
  <c r="H6" i="11" s="1"/>
  <c r="I2" i="2"/>
  <c r="I13" i="2" s="1"/>
  <c r="F2" i="2"/>
  <c r="E6" i="11" l="1"/>
  <c r="F6" i="11" s="1"/>
  <c r="D19" i="2"/>
  <c r="N15" i="2"/>
  <c r="N16" i="2"/>
  <c r="J2" i="2"/>
  <c r="J13" i="2" s="1"/>
  <c r="N17" i="2"/>
  <c r="D20" i="2"/>
  <c r="H19" i="2" l="1"/>
  <c r="C23" i="5"/>
  <c r="D5" i="11" s="1"/>
  <c r="C18" i="5"/>
  <c r="B5" i="11" s="1"/>
  <c r="C17" i="5"/>
  <c r="C5" i="11" s="1"/>
  <c r="E13" i="5"/>
  <c r="G13" i="5"/>
  <c r="H13" i="5"/>
  <c r="D13" i="5"/>
  <c r="C13" i="5"/>
  <c r="F3" i="5"/>
  <c r="I3" i="5"/>
  <c r="J3" i="5" s="1"/>
  <c r="F4" i="5"/>
  <c r="I4" i="5"/>
  <c r="F5" i="5"/>
  <c r="I5" i="5"/>
  <c r="F6" i="5"/>
  <c r="I6" i="5"/>
  <c r="I2" i="5"/>
  <c r="F2" i="5"/>
  <c r="F13" i="5" s="1"/>
  <c r="H5" i="11" s="1"/>
  <c r="N16" i="5" l="1"/>
  <c r="N17" i="5"/>
  <c r="N15" i="5"/>
  <c r="O15" i="5" s="1"/>
  <c r="I13" i="5"/>
  <c r="E5" i="11" s="1"/>
  <c r="F5" i="11" s="1"/>
  <c r="J6" i="5"/>
  <c r="J4" i="5"/>
  <c r="J5" i="5"/>
  <c r="J2" i="5"/>
  <c r="B17" i="4"/>
  <c r="I6" i="4"/>
  <c r="I9" i="4"/>
  <c r="B13" i="4"/>
  <c r="C13" i="4"/>
  <c r="F13" i="4"/>
  <c r="H3" i="4"/>
  <c r="H4" i="4"/>
  <c r="I4" i="4" s="1"/>
  <c r="H5" i="4"/>
  <c r="H6" i="4"/>
  <c r="H7" i="4"/>
  <c r="I7" i="4" s="1"/>
  <c r="H8" i="4"/>
  <c r="I8" i="4" s="1"/>
  <c r="H9" i="4"/>
  <c r="H10" i="4"/>
  <c r="H11" i="4"/>
  <c r="E3" i="4"/>
  <c r="E13" i="4" s="1"/>
  <c r="H4" i="11" s="1"/>
  <c r="E4" i="4"/>
  <c r="E5" i="4"/>
  <c r="I5" i="4" s="1"/>
  <c r="E6" i="4"/>
  <c r="E7" i="4"/>
  <c r="E8" i="4"/>
  <c r="E9" i="4"/>
  <c r="E10" i="4"/>
  <c r="E11" i="4"/>
  <c r="H2" i="4"/>
  <c r="E2" i="4"/>
  <c r="E17" i="4"/>
  <c r="G13" i="4"/>
  <c r="D13" i="4"/>
  <c r="I3" i="4" l="1"/>
  <c r="I10" i="4"/>
  <c r="I11" i="4"/>
  <c r="H13" i="4"/>
  <c r="E4" i="11" s="1"/>
  <c r="F4" i="11" s="1"/>
  <c r="M15" i="4"/>
  <c r="M16" i="4"/>
  <c r="M17" i="4"/>
  <c r="D19" i="5"/>
  <c r="D20" i="5" s="1"/>
  <c r="J13" i="5"/>
  <c r="H19" i="5"/>
  <c r="I2" i="4"/>
  <c r="I13" i="4"/>
  <c r="C19" i="4" l="1"/>
  <c r="C20" i="4" s="1"/>
  <c r="G19" i="4"/>
  <c r="E17" i="1" l="1"/>
  <c r="E3" i="1" l="1"/>
  <c r="E4" i="1"/>
  <c r="E5" i="1"/>
  <c r="E6" i="1"/>
  <c r="E7" i="1"/>
  <c r="E8" i="1"/>
  <c r="E9" i="1"/>
  <c r="E10" i="1"/>
  <c r="E11" i="1"/>
  <c r="E2" i="1"/>
  <c r="G13" i="1"/>
  <c r="F13" i="1"/>
  <c r="D13" i="1"/>
  <c r="B13" i="1"/>
  <c r="H3" i="1"/>
  <c r="H4" i="1"/>
  <c r="H5" i="1"/>
  <c r="H6" i="1"/>
  <c r="H7" i="1"/>
  <c r="H8" i="1"/>
  <c r="I8" i="1" s="1"/>
  <c r="H9" i="1"/>
  <c r="I9" i="1" s="1"/>
  <c r="H10" i="1"/>
  <c r="I10" i="1" s="1"/>
  <c r="H11" i="1"/>
  <c r="H2" i="1"/>
  <c r="H13" i="1" l="1"/>
  <c r="E3" i="11" s="1"/>
  <c r="F3" i="11" s="1"/>
  <c r="M15" i="1"/>
  <c r="M17" i="1"/>
  <c r="M16" i="1"/>
  <c r="I11" i="1"/>
  <c r="I7" i="1"/>
  <c r="I3" i="1"/>
  <c r="I6" i="1"/>
  <c r="E13" i="1"/>
  <c r="H3" i="11" s="1"/>
  <c r="C19" i="1"/>
  <c r="C20" i="1" s="1"/>
  <c r="G19" i="1"/>
  <c r="I2" i="1"/>
  <c r="I13" i="1" s="1"/>
  <c r="I4" i="1"/>
  <c r="I5" i="1"/>
  <c r="B24" i="22" l="1"/>
  <c r="B21" i="22"/>
  <c r="B22" i="22" s="1"/>
  <c r="C22" i="22"/>
  <c r="F24" i="22" s="1"/>
</calcChain>
</file>

<file path=xl/sharedStrings.xml><?xml version="1.0" encoding="utf-8"?>
<sst xmlns="http://schemas.openxmlformats.org/spreadsheetml/2006/main" count="972" uniqueCount="109">
  <si>
    <t>Sample</t>
  </si>
  <si>
    <t>Tube weight empty</t>
  </si>
  <si>
    <t>Sample + Tube (SWE")</t>
  </si>
  <si>
    <t>Net SWE (In)</t>
  </si>
  <si>
    <t>Snow depth (in)</t>
  </si>
  <si>
    <t>Core length (in)</t>
  </si>
  <si>
    <t>dirt plug (in)</t>
  </si>
  <si>
    <t>Mean</t>
  </si>
  <si>
    <t>corrected depth</t>
  </si>
  <si>
    <t>% water</t>
  </si>
  <si>
    <t>inches swe</t>
  </si>
  <si>
    <t>Sensor reporting 21 mm on 12/4/15</t>
  </si>
  <si>
    <t xml:space="preserve"> Proposed Adjustment </t>
  </si>
  <si>
    <t>mm SWE</t>
  </si>
  <si>
    <t xml:space="preserve">Divergence/adjustment </t>
  </si>
  <si>
    <t>Sensor/ actual (percent of true)</t>
  </si>
  <si>
    <t>Sensor reporting 240 and 201mm on 2/24/16</t>
  </si>
  <si>
    <t>Sensor K</t>
  </si>
  <si>
    <t>Sensor Tl</t>
  </si>
  <si>
    <t xml:space="preserve">Depth on sensor </t>
  </si>
  <si>
    <t>Stdev</t>
  </si>
  <si>
    <t>Variance</t>
  </si>
  <si>
    <t>Soil moisture observed 21%</t>
  </si>
  <si>
    <t>m</t>
  </si>
  <si>
    <t>in</t>
  </si>
  <si>
    <t>inches SWE reading low</t>
  </si>
  <si>
    <t>mm SWE reading low</t>
  </si>
  <si>
    <t>6a</t>
  </si>
  <si>
    <t>6b</t>
  </si>
  <si>
    <t>5a</t>
  </si>
  <si>
    <t>5b</t>
  </si>
  <si>
    <t>4a</t>
  </si>
  <si>
    <t>4b</t>
  </si>
  <si>
    <t>3a</t>
  </si>
  <si>
    <t>3b</t>
  </si>
  <si>
    <t>2a</t>
  </si>
  <si>
    <t>2b</t>
  </si>
  <si>
    <t>1a</t>
  </si>
  <si>
    <t>1b</t>
  </si>
  <si>
    <t>Avg SWE</t>
  </si>
  <si>
    <t>Inch</t>
  </si>
  <si>
    <t>mm</t>
  </si>
  <si>
    <t>Accoustic</t>
  </si>
  <si>
    <t>inch swe</t>
  </si>
  <si>
    <t>mm swe</t>
  </si>
  <si>
    <t>Before the CS 725 was recalibrated</t>
  </si>
  <si>
    <t>TAB sampled 12017</t>
  </si>
  <si>
    <t>under-reporting by (in)</t>
  </si>
  <si>
    <t>maxed out underreporting</t>
  </si>
  <si>
    <t>TAB sampled 021017</t>
  </si>
  <si>
    <t>Observed with ruler</t>
  </si>
  <si>
    <t>there was a very dense layer at 12-14" that was hard to sample through, resulting in few good cores</t>
  </si>
  <si>
    <t>TAB sampled 030217 1 pm</t>
  </si>
  <si>
    <t>"+/- (difference over observed)</t>
  </si>
  <si>
    <t>s</t>
  </si>
  <si>
    <t>TAB and ES sampled 050117 9am</t>
  </si>
  <si>
    <t xml:space="preserve">SWE Observed closest </t>
  </si>
  <si>
    <t xml:space="preserve">Depth Obs closest </t>
  </si>
  <si>
    <t>Instrument</t>
  </si>
  <si>
    <t>Field Observation</t>
  </si>
  <si>
    <t>SWE CS725 TL (in)</t>
  </si>
  <si>
    <t>SWE CS725 K (in)</t>
  </si>
  <si>
    <t>Sensor reporting 7.99" and 8.35" on 1/28/16</t>
  </si>
  <si>
    <t>Comments</t>
  </si>
  <si>
    <t xml:space="preserve"> Depth sensor maxed out</t>
  </si>
  <si>
    <t xml:space="preserve">Gamma sensor recalibarted, </t>
  </si>
  <si>
    <t>SWE Obs fed sampler AVG (in)</t>
  </si>
  <si>
    <t>SWE Obs fed sampler AVG cor (in)</t>
  </si>
  <si>
    <t>There were large melt out features developing below the tripods and thermocouple ladder posts that could have influenced the snow tube SWE differently than the CS 725 observation</t>
  </si>
  <si>
    <t>TAB andsampled 121417 12 noon</t>
  </si>
  <si>
    <t>Depth Observed avg  (in)</t>
  </si>
  <si>
    <t>Depth sonic (in)</t>
  </si>
  <si>
    <t>TAB and sampled 011118 3:30pm</t>
  </si>
  <si>
    <t>TAB and Josh Kissel  sampled 022118 4:00pm</t>
  </si>
  <si>
    <t>TAB 2/1/18  11:36</t>
  </si>
  <si>
    <t>TAB asampled 030818 3:30pm</t>
  </si>
  <si>
    <t>TAB asampled 031918 12:45</t>
  </si>
  <si>
    <t>TAB asampled 041318 12:00</t>
  </si>
  <si>
    <t>TAB asampled 012319 15:00</t>
  </si>
  <si>
    <t>TAB asampled 121118 1130</t>
  </si>
  <si>
    <t>TAB asampled 021519 13:30</t>
  </si>
  <si>
    <t>na</t>
  </si>
  <si>
    <t>TAB asampled 022519 14:20</t>
  </si>
  <si>
    <t>We moved up the depth sensor so it would be working 2/26/19</t>
  </si>
  <si>
    <t>SWE sensor and ultra sonic sensor went under snow</t>
  </si>
  <si>
    <t xml:space="preserve">The depth sensor and the SWE sensor were buried by snow last week so they are not recording the full depth </t>
  </si>
  <si>
    <t>TAB asampled 032919 1330</t>
  </si>
  <si>
    <t>TAB sampled 021921 1630</t>
  </si>
  <si>
    <t>The tubes were warm and the snow fresh and light so we had some very short inside measurements, could be low numbers 9 attempted cores were resampled  many at  site 4.</t>
  </si>
  <si>
    <t>sunny day 3-4" fresh snow overnight</t>
  </si>
  <si>
    <t>TAB sampled 01/7/21 1600</t>
  </si>
  <si>
    <t>calm 6" frsh snow overnight</t>
  </si>
  <si>
    <t>stadia</t>
  </si>
  <si>
    <t>K seems more reliable</t>
  </si>
  <si>
    <t>TAB sampled 12/04/20 15 ;24</t>
  </si>
  <si>
    <t>inches SWE reading high</t>
  </si>
  <si>
    <t>mm SWE reading high</t>
  </si>
  <si>
    <t>sunny no new snow for days</t>
  </si>
  <si>
    <t>TAB sampled 01/09/2020 13:25</t>
  </si>
  <si>
    <t>5" new snow today and cold</t>
  </si>
  <si>
    <t>TAB sampled 01/30/2020</t>
  </si>
  <si>
    <t>TAB sampled 02/27/2020 10</t>
  </si>
  <si>
    <t>TAB sampled 04/04/2021 12:25</t>
  </si>
  <si>
    <t>sunny and warm Sunday.  Last day of XC ski grooming</t>
  </si>
  <si>
    <t>on snow stadia stake</t>
  </si>
  <si>
    <t>TAB sampled 3/23/21 13 :25</t>
  </si>
  <si>
    <t>CS 725 calibration had problems</t>
  </si>
  <si>
    <t>Obs Date</t>
  </si>
  <si>
    <t>Depth Obs under Sonic with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</si>
</sst>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;@"/>
    <numFmt numFmtId="166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2" fontId="0" fillId="0" borderId="0" xfId="0" applyNumberFormat="1"/>
    <xf numFmtId="2" fontId="2" fillId="0" borderId="2" xfId="0" applyNumberFormat="1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2" borderId="0" xfId="0" applyFont="1" applyFill="1"/>
    <xf numFmtId="9" fontId="2" fillId="2" borderId="0" xfId="1" applyFont="1" applyFill="1"/>
    <xf numFmtId="2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  <xf numFmtId="0" fontId="2" fillId="0" borderId="4" xfId="0" applyFont="1" applyBorder="1" applyAlignment="1">
      <alignment horizontal="left" vertical="center" wrapText="1"/>
    </xf>
    <xf numFmtId="0" fontId="0" fillId="0" borderId="10" xfId="0" applyBorder="1"/>
    <xf numFmtId="0" fontId="0" fillId="0" borderId="10" xfId="0" applyBorder="1" applyAlignment="1">
      <alignment horizontal="left" vertical="center" wrapText="1"/>
    </xf>
    <xf numFmtId="2" fontId="0" fillId="0" borderId="10" xfId="0" applyNumberFormat="1" applyBorder="1" applyAlignment="1">
      <alignment horizontal="left" vertical="center" wrapText="1"/>
    </xf>
    <xf numFmtId="2" fontId="0" fillId="3" borderId="10" xfId="0" applyNumberFormat="1" applyFill="1" applyBorder="1" applyAlignment="1">
      <alignment horizontal="left" vertical="center"/>
    </xf>
    <xf numFmtId="2" fontId="3" fillId="0" borderId="5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0" fillId="0" borderId="0" xfId="0" applyAlignment="1">
      <alignment wrapText="1"/>
    </xf>
    <xf numFmtId="9" fontId="4" fillId="0" borderId="0" xfId="1" applyFont="1"/>
    <xf numFmtId="0" fontId="0" fillId="6" borderId="0" xfId="0" applyFill="1"/>
    <xf numFmtId="0" fontId="0" fillId="2" borderId="0" xfId="0" applyFill="1"/>
    <xf numFmtId="0" fontId="0" fillId="6" borderId="8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4" xfId="0" applyBorder="1" applyAlignment="1">
      <alignment wrapText="1"/>
    </xf>
    <xf numFmtId="165" fontId="0" fillId="0" borderId="0" xfId="0" applyNumberFormat="1"/>
    <xf numFmtId="14" fontId="0" fillId="0" borderId="0" xfId="0" applyNumberFormat="1"/>
    <xf numFmtId="164" fontId="0" fillId="6" borderId="0" xfId="0" applyNumberFormat="1" applyFill="1"/>
    <xf numFmtId="164" fontId="0" fillId="2" borderId="0" xfId="0" applyNumberFormat="1" applyFill="1"/>
    <xf numFmtId="2" fontId="0" fillId="3" borderId="11" xfId="0" applyNumberForma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0" fillId="0" borderId="8" xfId="0" applyBorder="1"/>
    <xf numFmtId="9" fontId="0" fillId="0" borderId="9" xfId="1" applyFont="1" applyBorder="1"/>
    <xf numFmtId="0" fontId="0" fillId="0" borderId="5" xfId="0" applyBorder="1"/>
    <xf numFmtId="9" fontId="4" fillId="0" borderId="6" xfId="1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0" fillId="7" borderId="0" xfId="0" applyNumberFormat="1" applyFill="1"/>
    <xf numFmtId="0" fontId="0" fillId="2" borderId="3" xfId="0" applyFill="1" applyBorder="1" applyAlignment="1">
      <alignment wrapText="1"/>
    </xf>
    <xf numFmtId="0" fontId="0" fillId="6" borderId="12" xfId="0" applyFill="1" applyBorder="1" applyAlignment="1">
      <alignment wrapText="1"/>
    </xf>
    <xf numFmtId="0" fontId="0" fillId="2" borderId="12" xfId="0" applyFill="1" applyBorder="1" applyAlignment="1">
      <alignment wrapText="1"/>
    </xf>
    <xf numFmtId="164" fontId="2" fillId="8" borderId="0" xfId="0" applyNumberFormat="1" applyFont="1" applyFill="1"/>
    <xf numFmtId="166" fontId="0" fillId="0" borderId="0" xfId="0" applyNumberFormat="1"/>
    <xf numFmtId="2" fontId="0" fillId="6" borderId="0" xfId="0" applyNumberFormat="1" applyFill="1"/>
    <xf numFmtId="164" fontId="0" fillId="0" borderId="10" xfId="0" applyNumberFormat="1" applyBorder="1"/>
    <xf numFmtId="164" fontId="0" fillId="3" borderId="11" xfId="0" applyNumberFormat="1" applyFill="1" applyBorder="1" applyAlignment="1">
      <alignment horizontal="left" vertical="center"/>
    </xf>
    <xf numFmtId="164" fontId="4" fillId="0" borderId="0" xfId="0" applyNumberFormat="1" applyFont="1"/>
    <xf numFmtId="164" fontId="5" fillId="0" borderId="8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4" fillId="6" borderId="0" xfId="0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164" fontId="0" fillId="3" borderId="1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/>
    <xf numFmtId="0" fontId="0" fillId="9" borderId="10" xfId="0" applyFill="1" applyBorder="1"/>
    <xf numFmtId="0" fontId="6" fillId="0" borderId="0" xfId="0" applyFont="1"/>
    <xf numFmtId="164" fontId="2" fillId="9" borderId="0" xfId="0" applyNumberFormat="1" applyFont="1" applyFill="1"/>
    <xf numFmtId="0" fontId="2" fillId="3" borderId="0" xfId="0" applyFont="1" applyFill="1"/>
    <xf numFmtId="164" fontId="0" fillId="10" borderId="0" xfId="0" applyNumberFormat="1" applyFill="1"/>
    <xf numFmtId="0" fontId="0" fillId="1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2015/16 SWE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SWE CS725 TL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Summary!$A$3:$A$6</c:f>
              <c:numCache>
                <c:formatCode>m/d/yyyy</c:formatCode>
                <c:ptCount val="4"/>
                <c:pt idx="0" formatCode="mm/dd/yy;@">
                  <c:v>42342</c:v>
                </c:pt>
                <c:pt idx="1">
                  <c:v>42397</c:v>
                </c:pt>
                <c:pt idx="2">
                  <c:v>42424</c:v>
                </c:pt>
                <c:pt idx="3">
                  <c:v>42460</c:v>
                </c:pt>
              </c:numCache>
            </c:numRef>
          </c:xVal>
          <c:yVal>
            <c:numRef>
              <c:f>Summary!$B$3:$B$6</c:f>
              <c:numCache>
                <c:formatCode>0.0</c:formatCode>
                <c:ptCount val="4"/>
                <c:pt idx="0">
                  <c:v>0.83</c:v>
                </c:pt>
                <c:pt idx="1">
                  <c:v>7.99</c:v>
                </c:pt>
                <c:pt idx="2">
                  <c:v>8.8188976377952759</c:v>
                </c:pt>
                <c:pt idx="3">
                  <c:v>14.84251968503937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F-4897-8AF9-EB1939F9FB77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SWE CS725 K (in)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Summary!$A$3:$A$6</c:f>
              <c:numCache>
                <c:formatCode>m/d/yyyy</c:formatCode>
                <c:ptCount val="4"/>
                <c:pt idx="0" formatCode="mm/dd/yy;@">
                  <c:v>42342</c:v>
                </c:pt>
                <c:pt idx="1">
                  <c:v>42397</c:v>
                </c:pt>
                <c:pt idx="2">
                  <c:v>42424</c:v>
                </c:pt>
                <c:pt idx="3">
                  <c:v>42460</c:v>
                </c:pt>
              </c:numCache>
            </c:numRef>
          </c:xVal>
          <c:yVal>
            <c:numRef>
              <c:f>Summary!$C$3:$C$6</c:f>
              <c:numCache>
                <c:formatCode>0.0</c:formatCode>
                <c:ptCount val="4"/>
                <c:pt idx="0">
                  <c:v>0.83</c:v>
                </c:pt>
                <c:pt idx="1">
                  <c:v>8.35</c:v>
                </c:pt>
                <c:pt idx="2">
                  <c:v>9.4094488188976371</c:v>
                </c:pt>
                <c:pt idx="3">
                  <c:v>14.921259842519685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F-4897-8AF9-EB1939F9FB77}"/>
            </c:ext>
          </c:extLst>
        </c:ser>
        <c:ser>
          <c:idx val="2"/>
          <c:order val="2"/>
          <c:tx>
            <c:strRef>
              <c:f>Summary!$E$2</c:f>
              <c:strCache>
                <c:ptCount val="1"/>
                <c:pt idx="0">
                  <c:v>SWE Obs fed sampler AVG (in)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Summary!$A$3:$A$6</c:f>
              <c:numCache>
                <c:formatCode>m/d/yyyy</c:formatCode>
                <c:ptCount val="4"/>
                <c:pt idx="0" formatCode="mm/dd/yy;@">
                  <c:v>42342</c:v>
                </c:pt>
                <c:pt idx="1">
                  <c:v>42397</c:v>
                </c:pt>
                <c:pt idx="2">
                  <c:v>42424</c:v>
                </c:pt>
                <c:pt idx="3">
                  <c:v>42460</c:v>
                </c:pt>
              </c:numCache>
            </c:numRef>
          </c:xVal>
          <c:yVal>
            <c:numRef>
              <c:f>Summary!$E$3:$E$6</c:f>
              <c:numCache>
                <c:formatCode>0.0</c:formatCode>
                <c:ptCount val="4"/>
                <c:pt idx="0">
                  <c:v>3.15</c:v>
                </c:pt>
                <c:pt idx="1">
                  <c:v>13.8</c:v>
                </c:pt>
                <c:pt idx="2">
                  <c:v>15.1</c:v>
                </c:pt>
                <c:pt idx="3">
                  <c:v>16.25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EF-4897-8AF9-EB1939F9FB77}"/>
            </c:ext>
          </c:extLst>
        </c:ser>
        <c:ser>
          <c:idx val="3"/>
          <c:order val="3"/>
          <c:tx>
            <c:strRef>
              <c:f>Summary!$F$2</c:f>
              <c:strCache>
                <c:ptCount val="1"/>
                <c:pt idx="0">
                  <c:v>SWE Obs fed sampler AVG cor (in)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Summary!$A$3:$A$6</c:f>
              <c:numCache>
                <c:formatCode>m/d/yyyy</c:formatCode>
                <c:ptCount val="4"/>
                <c:pt idx="0" formatCode="mm/dd/yy;@">
                  <c:v>42342</c:v>
                </c:pt>
                <c:pt idx="1">
                  <c:v>42397</c:v>
                </c:pt>
                <c:pt idx="2">
                  <c:v>42424</c:v>
                </c:pt>
                <c:pt idx="3">
                  <c:v>42460</c:v>
                </c:pt>
              </c:numCache>
            </c:numRef>
          </c:xVal>
          <c:yVal>
            <c:numRef>
              <c:f>Summary!$F$3:$F$6</c:f>
              <c:numCache>
                <c:formatCode>0.0</c:formatCode>
                <c:ptCount val="4"/>
                <c:pt idx="0">
                  <c:v>2.9166666666666665</c:v>
                </c:pt>
                <c:pt idx="1">
                  <c:v>12.777777777777777</c:v>
                </c:pt>
                <c:pt idx="2">
                  <c:v>13.981481481481481</c:v>
                </c:pt>
                <c:pt idx="3">
                  <c:v>15.046296296296296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F-4897-8AF9-EB1939F9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09920"/>
        <c:axId val="442610312"/>
      </c:scatterChart>
      <c:valAx>
        <c:axId val="44260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10312"/>
        <c:crosses val="autoZero"/>
        <c:crossBetween val="midCat"/>
      </c:valAx>
      <c:valAx>
        <c:axId val="4426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0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2020/21 SWE Calibration</a:t>
            </a:r>
          </a:p>
        </c:rich>
      </c:tx>
      <c:layout>
        <c:manualLayout>
          <c:xMode val="edge"/>
          <c:yMode val="edge"/>
          <c:x val="0.35417154645649229"/>
          <c:y val="2.785515320334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1050864576887"/>
          <c:y val="0.14428030303030306"/>
          <c:w val="0.84444640050075037"/>
          <c:h val="0.77163534955857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SWE CS725 TL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Summary!$A$33:$A$37</c:f>
              <c:numCache>
                <c:formatCode>m/d/yyyy</c:formatCode>
                <c:ptCount val="5"/>
                <c:pt idx="0">
                  <c:v>44169</c:v>
                </c:pt>
                <c:pt idx="1">
                  <c:v>44203</c:v>
                </c:pt>
                <c:pt idx="2">
                  <c:v>44246</c:v>
                </c:pt>
                <c:pt idx="3">
                  <c:v>44278</c:v>
                </c:pt>
                <c:pt idx="4">
                  <c:v>44290</c:v>
                </c:pt>
              </c:numCache>
            </c:numRef>
          </c:xVal>
          <c:yVal>
            <c:numRef>
              <c:f>Summary!$B$33:$B$37</c:f>
              <c:numCache>
                <c:formatCode>General</c:formatCode>
                <c:ptCount val="5"/>
                <c:pt idx="0">
                  <c:v>4.8</c:v>
                </c:pt>
                <c:pt idx="1">
                  <c:v>9.3000000000000007</c:v>
                </c:pt>
                <c:pt idx="2">
                  <c:v>14.1</c:v>
                </c:pt>
                <c:pt idx="3">
                  <c:v>13.5</c:v>
                </c:pt>
                <c:pt idx="4">
                  <c:v>12.95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5-4ABD-8298-F9AFDD50D566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SWE CS725 K (in)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Summary!$A$33:$A$37</c:f>
              <c:numCache>
                <c:formatCode>m/d/yyyy</c:formatCode>
                <c:ptCount val="5"/>
                <c:pt idx="0">
                  <c:v>44169</c:v>
                </c:pt>
                <c:pt idx="1">
                  <c:v>44203</c:v>
                </c:pt>
                <c:pt idx="2">
                  <c:v>44246</c:v>
                </c:pt>
                <c:pt idx="3">
                  <c:v>44278</c:v>
                </c:pt>
                <c:pt idx="4">
                  <c:v>44290</c:v>
                </c:pt>
              </c:numCache>
            </c:numRef>
          </c:xVal>
          <c:yVal>
            <c:numRef>
              <c:f>Summary!$C$33:$C$37</c:f>
              <c:numCache>
                <c:formatCode>General</c:formatCode>
                <c:ptCount val="5"/>
                <c:pt idx="0">
                  <c:v>5.2</c:v>
                </c:pt>
                <c:pt idx="1">
                  <c:v>10</c:v>
                </c:pt>
                <c:pt idx="2">
                  <c:v>14.8</c:v>
                </c:pt>
                <c:pt idx="3">
                  <c:v>15.1</c:v>
                </c:pt>
                <c:pt idx="4">
                  <c:v>14.29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5-4ABD-8298-F9AFDD50D566}"/>
            </c:ext>
          </c:extLst>
        </c:ser>
        <c:ser>
          <c:idx val="2"/>
          <c:order val="2"/>
          <c:tx>
            <c:strRef>
              <c:f>Summary!$E$2</c:f>
              <c:strCache>
                <c:ptCount val="1"/>
                <c:pt idx="0">
                  <c:v>SWE Obs fed sampler AVG (in)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Summary!$A$33:$A$37</c:f>
              <c:numCache>
                <c:formatCode>m/d/yyyy</c:formatCode>
                <c:ptCount val="5"/>
                <c:pt idx="0">
                  <c:v>44169</c:v>
                </c:pt>
                <c:pt idx="1">
                  <c:v>44203</c:v>
                </c:pt>
                <c:pt idx="2">
                  <c:v>44246</c:v>
                </c:pt>
                <c:pt idx="3">
                  <c:v>44278</c:v>
                </c:pt>
                <c:pt idx="4">
                  <c:v>44290</c:v>
                </c:pt>
              </c:numCache>
            </c:numRef>
          </c:xVal>
          <c:yVal>
            <c:numRef>
              <c:f>Summary!$E$33:$E$37</c:f>
              <c:numCache>
                <c:formatCode>General</c:formatCode>
                <c:ptCount val="5"/>
                <c:pt idx="0">
                  <c:v>5.8</c:v>
                </c:pt>
                <c:pt idx="1">
                  <c:v>10.3</c:v>
                </c:pt>
                <c:pt idx="2">
                  <c:v>15.7</c:v>
                </c:pt>
                <c:pt idx="3">
                  <c:v>16.600000000000001</c:v>
                </c:pt>
                <c:pt idx="4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5-4ABD-8298-F9AFDD50D566}"/>
            </c:ext>
          </c:extLst>
        </c:ser>
        <c:ser>
          <c:idx val="3"/>
          <c:order val="3"/>
          <c:tx>
            <c:strRef>
              <c:f>Summary!$F$2</c:f>
              <c:strCache>
                <c:ptCount val="1"/>
                <c:pt idx="0">
                  <c:v>SWE Obs fed sampler AVG cor (in)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Summary!$A$33:$A$37</c:f>
              <c:numCache>
                <c:formatCode>m/d/yyyy</c:formatCode>
                <c:ptCount val="5"/>
                <c:pt idx="0">
                  <c:v>44169</c:v>
                </c:pt>
                <c:pt idx="1">
                  <c:v>44203</c:v>
                </c:pt>
                <c:pt idx="2">
                  <c:v>44246</c:v>
                </c:pt>
                <c:pt idx="3">
                  <c:v>44278</c:v>
                </c:pt>
                <c:pt idx="4">
                  <c:v>44290</c:v>
                </c:pt>
              </c:numCache>
            </c:numRef>
          </c:xVal>
          <c:yVal>
            <c:numRef>
              <c:f>Summary!$F$33:$F$37</c:f>
              <c:numCache>
                <c:formatCode>0.0</c:formatCode>
                <c:ptCount val="5"/>
                <c:pt idx="0">
                  <c:v>5.3703703703703702</c:v>
                </c:pt>
                <c:pt idx="1">
                  <c:v>9.5370370370370363</c:v>
                </c:pt>
                <c:pt idx="2">
                  <c:v>14.537037037037035</c:v>
                </c:pt>
                <c:pt idx="3">
                  <c:v>15.37037037037037</c:v>
                </c:pt>
                <c:pt idx="4" formatCode="General">
                  <c:v>14.537037037037035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5-4ABD-8298-F9AFDD50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5568"/>
        <c:axId val="374895176"/>
      </c:scatterChart>
      <c:valAx>
        <c:axId val="3748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5176"/>
        <c:crosses val="autoZero"/>
        <c:crossBetween val="midCat"/>
      </c:valAx>
      <c:valAx>
        <c:axId val="37489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516548236348507E-2"/>
          <c:y val="7.7820031018849892E-2"/>
          <c:w val="0.51165418347096858"/>
          <c:h val="0.25379145788594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Obs SWE vs Gamma SWE 19/20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38218466963094"/>
          <c:y val="2.4175769321886489E-2"/>
          <c:w val="0.77861381803488761"/>
          <c:h val="0.83960991506156224"/>
        </c:manualLayout>
      </c:layout>
      <c:scatterChart>
        <c:scatterStyle val="lineMarker"/>
        <c:varyColors val="0"/>
        <c:ser>
          <c:idx val="1"/>
          <c:order val="0"/>
          <c:tx>
            <c:v>Tl vs Fed cor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Summary!$F$27:$F$29</c:f>
              <c:numCache>
                <c:formatCode>0.0</c:formatCode>
                <c:ptCount val="3"/>
                <c:pt idx="0">
                  <c:v>6.2962962962962958</c:v>
                </c:pt>
                <c:pt idx="1">
                  <c:v>11.111111111111111</c:v>
                </c:pt>
                <c:pt idx="2">
                  <c:v>14.351851851851851</c:v>
                </c:pt>
              </c:numCache>
            </c:numRef>
          </c:xVal>
          <c:yVal>
            <c:numRef>
              <c:f>Summary!$B$27:$B$29</c:f>
              <c:numCache>
                <c:formatCode>General</c:formatCode>
                <c:ptCount val="3"/>
                <c:pt idx="0">
                  <c:v>5.7869999999999999</c:v>
                </c:pt>
                <c:pt idx="1">
                  <c:v>10.9</c:v>
                </c:pt>
                <c:pt idx="2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7-4608-88B8-75B7F5BACD36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Summary!$F$27:$F$29</c:f>
              <c:numCache>
                <c:formatCode>0.0</c:formatCode>
                <c:ptCount val="3"/>
                <c:pt idx="0">
                  <c:v>6.2962962962962958</c:v>
                </c:pt>
                <c:pt idx="1">
                  <c:v>11.111111111111111</c:v>
                </c:pt>
                <c:pt idx="2">
                  <c:v>14.351851851851851</c:v>
                </c:pt>
              </c:numCache>
            </c:numRef>
          </c:xVal>
          <c:yVal>
            <c:numRef>
              <c:f>Summary!$C$27:$C$29</c:f>
              <c:numCache>
                <c:formatCode>General</c:formatCode>
                <c:ptCount val="3"/>
                <c:pt idx="0">
                  <c:v>6.26</c:v>
                </c:pt>
                <c:pt idx="1">
                  <c:v>11.3</c:v>
                </c:pt>
                <c:pt idx="2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7-4608-88B8-75B7F5BACD36}"/>
            </c:ext>
          </c:extLst>
        </c:ser>
        <c:ser>
          <c:idx val="3"/>
          <c:order val="2"/>
          <c:tx>
            <c:v>1 to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Summary!$Z$9:$Z$10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Summary!$AA$9:$AA$10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7-4608-88B8-75B7F5BA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4392"/>
        <c:axId val="375364808"/>
      </c:scatterChart>
      <c:valAx>
        <c:axId val="3748943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 Sampler Corrected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64808"/>
        <c:crosses val="autoZero"/>
        <c:crossBetween val="midCat"/>
      </c:valAx>
      <c:valAx>
        <c:axId val="3753648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SWE sensor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0105167904360559"/>
          <c:y val="0.54892936230998213"/>
          <c:w val="0.45380513879664414"/>
          <c:h val="0.28945802303706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Obs SWE vs Gamma SWE 20/21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38218466963094"/>
          <c:y val="2.4175769321886489E-2"/>
          <c:w val="0.77861381803488761"/>
          <c:h val="0.83960991506156224"/>
        </c:manualLayout>
      </c:layout>
      <c:scatterChart>
        <c:scatterStyle val="lineMarker"/>
        <c:varyColors val="0"/>
        <c:ser>
          <c:idx val="1"/>
          <c:order val="0"/>
          <c:tx>
            <c:v>Tl vs Fed cor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Summary!$F$33:$F$37</c:f>
              <c:numCache>
                <c:formatCode>0.0</c:formatCode>
                <c:ptCount val="5"/>
                <c:pt idx="0">
                  <c:v>5.3703703703703702</c:v>
                </c:pt>
                <c:pt idx="1">
                  <c:v>9.5370370370370363</c:v>
                </c:pt>
                <c:pt idx="2">
                  <c:v>14.537037037037035</c:v>
                </c:pt>
                <c:pt idx="3">
                  <c:v>15.37037037037037</c:v>
                </c:pt>
                <c:pt idx="4" formatCode="General">
                  <c:v>14.537037037037035</c:v>
                </c:pt>
              </c:numCache>
            </c:numRef>
          </c:xVal>
          <c:yVal>
            <c:numRef>
              <c:f>Summary!$B$33:$B$37</c:f>
              <c:numCache>
                <c:formatCode>General</c:formatCode>
                <c:ptCount val="5"/>
                <c:pt idx="0">
                  <c:v>4.8</c:v>
                </c:pt>
                <c:pt idx="1">
                  <c:v>9.3000000000000007</c:v>
                </c:pt>
                <c:pt idx="2">
                  <c:v>14.1</c:v>
                </c:pt>
                <c:pt idx="3">
                  <c:v>13.5</c:v>
                </c:pt>
                <c:pt idx="4">
                  <c:v>12.95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4-488B-871D-1CD47F6AEB61}"/>
            </c:ext>
          </c:extLst>
        </c:ser>
        <c:ser>
          <c:idx val="2"/>
          <c:order val="1"/>
          <c:tx>
            <c:v>K vs Fed cor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Summary!$F$33:$F$37</c:f>
              <c:numCache>
                <c:formatCode>0.0</c:formatCode>
                <c:ptCount val="5"/>
                <c:pt idx="0">
                  <c:v>5.3703703703703702</c:v>
                </c:pt>
                <c:pt idx="1">
                  <c:v>9.5370370370370363</c:v>
                </c:pt>
                <c:pt idx="2">
                  <c:v>14.537037037037035</c:v>
                </c:pt>
                <c:pt idx="3">
                  <c:v>15.37037037037037</c:v>
                </c:pt>
                <c:pt idx="4" formatCode="General">
                  <c:v>14.537037037037035</c:v>
                </c:pt>
              </c:numCache>
            </c:numRef>
          </c:xVal>
          <c:yVal>
            <c:numRef>
              <c:f>Summary!$C$33:$C$37</c:f>
              <c:numCache>
                <c:formatCode>General</c:formatCode>
                <c:ptCount val="5"/>
                <c:pt idx="0">
                  <c:v>5.2</c:v>
                </c:pt>
                <c:pt idx="1">
                  <c:v>10</c:v>
                </c:pt>
                <c:pt idx="2">
                  <c:v>14.8</c:v>
                </c:pt>
                <c:pt idx="3">
                  <c:v>15.1</c:v>
                </c:pt>
                <c:pt idx="4">
                  <c:v>14.29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4-488B-871D-1CD47F6AEB61}"/>
            </c:ext>
          </c:extLst>
        </c:ser>
        <c:ser>
          <c:idx val="3"/>
          <c:order val="2"/>
          <c:tx>
            <c:v>1 to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Summary!$Z$9:$Z$10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Summary!$AA$9:$AA$10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4-488B-871D-1CD47F6A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4392"/>
        <c:axId val="375364808"/>
      </c:scatterChart>
      <c:valAx>
        <c:axId val="3748943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 Sampler Corrected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64808"/>
        <c:crosses val="autoZero"/>
        <c:crossBetween val="midCat"/>
      </c:valAx>
      <c:valAx>
        <c:axId val="3753648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SWE sensor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0105167904360559"/>
          <c:y val="0.54892936230998213"/>
          <c:w val="0.45380513879664414"/>
          <c:h val="0.28945802303706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 Fed Sampler vs CS 725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2279158885043"/>
          <c:y val="0.13344130421726683"/>
          <c:w val="0.83827948539925334"/>
          <c:h val="0.70680579178711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Summary!$E$1:$E$2</c:f>
              <c:strCache>
                <c:ptCount val="2"/>
                <c:pt idx="0">
                  <c:v>Field Observation</c:v>
                </c:pt>
                <c:pt idx="1">
                  <c:v>SWE Obs fed sampler AVG (in)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Summary!$E$3:$E$37</c:f>
              <c:numCache>
                <c:formatCode>0.0</c:formatCode>
                <c:ptCount val="35"/>
                <c:pt idx="0">
                  <c:v>3.15</c:v>
                </c:pt>
                <c:pt idx="1">
                  <c:v>13.8</c:v>
                </c:pt>
                <c:pt idx="2">
                  <c:v>15.1</c:v>
                </c:pt>
                <c:pt idx="3">
                  <c:v>16.25</c:v>
                </c:pt>
                <c:pt idx="5">
                  <c:v>1.65</c:v>
                </c:pt>
                <c:pt idx="6">
                  <c:v>4.916666666666667</c:v>
                </c:pt>
                <c:pt idx="7">
                  <c:v>13.65</c:v>
                </c:pt>
                <c:pt idx="8">
                  <c:v>16.2</c:v>
                </c:pt>
                <c:pt idx="9">
                  <c:v>18.75</c:v>
                </c:pt>
                <c:pt idx="10">
                  <c:v>10.166666666666666</c:v>
                </c:pt>
                <c:pt idx="12" formatCode="General">
                  <c:v>1.5</c:v>
                </c:pt>
                <c:pt idx="13" formatCode="General">
                  <c:v>3.7</c:v>
                </c:pt>
                <c:pt idx="14" formatCode="General">
                  <c:v>7.6</c:v>
                </c:pt>
                <c:pt idx="15" formatCode="General">
                  <c:v>7.2</c:v>
                </c:pt>
                <c:pt idx="16" formatCode="General">
                  <c:v>10.5</c:v>
                </c:pt>
                <c:pt idx="17" formatCode="General">
                  <c:v>8.6</c:v>
                </c:pt>
                <c:pt idx="19">
                  <c:v>3.7083333333333335</c:v>
                </c:pt>
                <c:pt idx="20">
                  <c:v>9.9166666666666661</c:v>
                </c:pt>
                <c:pt idx="21" formatCode="General">
                  <c:v>17.5</c:v>
                </c:pt>
                <c:pt idx="22">
                  <c:v>20.875</c:v>
                </c:pt>
                <c:pt idx="24" formatCode="General">
                  <c:v>6.8</c:v>
                </c:pt>
                <c:pt idx="25" formatCode="General">
                  <c:v>12</c:v>
                </c:pt>
                <c:pt idx="26" formatCode="General">
                  <c:v>15.5</c:v>
                </c:pt>
                <c:pt idx="30" formatCode="General">
                  <c:v>5.8</c:v>
                </c:pt>
                <c:pt idx="31" formatCode="General">
                  <c:v>10.3</c:v>
                </c:pt>
                <c:pt idx="32" formatCode="General">
                  <c:v>15.7</c:v>
                </c:pt>
                <c:pt idx="33" formatCode="General">
                  <c:v>16.600000000000001</c:v>
                </c:pt>
                <c:pt idx="34" formatCode="General">
                  <c:v>15.7</c:v>
                </c:pt>
              </c:numCache>
            </c:numRef>
          </c:xVal>
          <c:yVal>
            <c:numRef>
              <c:f>Summary!$C$3:$C$37</c:f>
              <c:numCache>
                <c:formatCode>0.0</c:formatCode>
                <c:ptCount val="35"/>
                <c:pt idx="0">
                  <c:v>0.83</c:v>
                </c:pt>
                <c:pt idx="1">
                  <c:v>8.35</c:v>
                </c:pt>
                <c:pt idx="2">
                  <c:v>9.4094488188976371</c:v>
                </c:pt>
                <c:pt idx="3">
                  <c:v>14.921259842519685</c:v>
                </c:pt>
                <c:pt idx="5">
                  <c:v>1.0236220472440944</c:v>
                </c:pt>
                <c:pt idx="6">
                  <c:v>5.1181102362204731</c:v>
                </c:pt>
                <c:pt idx="7">
                  <c:v>12.874015748031496</c:v>
                </c:pt>
                <c:pt idx="8">
                  <c:v>15.16</c:v>
                </c:pt>
                <c:pt idx="9">
                  <c:v>16.8503937007874</c:v>
                </c:pt>
                <c:pt idx="10">
                  <c:v>7.2834645669291342</c:v>
                </c:pt>
                <c:pt idx="12" formatCode="General">
                  <c:v>1.42</c:v>
                </c:pt>
                <c:pt idx="13" formatCode="General">
                  <c:v>3.54</c:v>
                </c:pt>
                <c:pt idx="14" formatCode="General">
                  <c:v>7.05</c:v>
                </c:pt>
                <c:pt idx="15" formatCode="General">
                  <c:v>7.28</c:v>
                </c:pt>
                <c:pt idx="16" formatCode="0.00">
                  <c:v>10.26</c:v>
                </c:pt>
                <c:pt idx="17" formatCode="General">
                  <c:v>8.86</c:v>
                </c:pt>
                <c:pt idx="19">
                  <c:v>3.8188976377952755</c:v>
                </c:pt>
                <c:pt idx="20">
                  <c:v>9.0551181102362204</c:v>
                </c:pt>
                <c:pt idx="21" formatCode="General">
                  <c:v>15.35</c:v>
                </c:pt>
                <c:pt idx="24" formatCode="General">
                  <c:v>6.26</c:v>
                </c:pt>
                <c:pt idx="25" formatCode="General">
                  <c:v>11.3</c:v>
                </c:pt>
                <c:pt idx="26" formatCode="General">
                  <c:v>14.3</c:v>
                </c:pt>
                <c:pt idx="30" formatCode="General">
                  <c:v>5.2</c:v>
                </c:pt>
                <c:pt idx="31" formatCode="General">
                  <c:v>10</c:v>
                </c:pt>
                <c:pt idx="32" formatCode="General">
                  <c:v>14.8</c:v>
                </c:pt>
                <c:pt idx="33" formatCode="General">
                  <c:v>15.1</c:v>
                </c:pt>
                <c:pt idx="34" formatCode="General">
                  <c:v>14.29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B-46D4-990A-4EFE7DF30F66}"/>
            </c:ext>
          </c:extLst>
        </c:ser>
        <c:ser>
          <c:idx val="1"/>
          <c:order val="1"/>
          <c:tx>
            <c:v>1 to 1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Summary!$Z$9:$Z$10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Summary!$AA$9:$AA$10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B-46D4-990A-4EFE7DF3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54120"/>
        <c:axId val="717054448"/>
      </c:scatterChart>
      <c:valAx>
        <c:axId val="71705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 Fed</a:t>
                </a:r>
                <a:r>
                  <a:rPr lang="en-US" baseline="0"/>
                  <a:t> sampler SWE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54448"/>
        <c:crosses val="autoZero"/>
        <c:crossBetween val="midCat"/>
      </c:valAx>
      <c:valAx>
        <c:axId val="7170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 725 SWE Tl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5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'33116'!$C$2:$C$11</c:f>
              <c:numCache>
                <c:formatCode>General</c:formatCode>
                <c:ptCount val="10"/>
                <c:pt idx="0">
                  <c:v>39.5</c:v>
                </c:pt>
                <c:pt idx="1">
                  <c:v>36.5</c:v>
                </c:pt>
                <c:pt idx="2">
                  <c:v>37</c:v>
                </c:pt>
                <c:pt idx="3">
                  <c:v>39</c:v>
                </c:pt>
                <c:pt idx="4">
                  <c:v>40.5</c:v>
                </c:pt>
                <c:pt idx="5">
                  <c:v>46</c:v>
                </c:pt>
                <c:pt idx="6">
                  <c:v>46.5</c:v>
                </c:pt>
                <c:pt idx="7">
                  <c:v>43</c:v>
                </c:pt>
                <c:pt idx="8">
                  <c:v>41</c:v>
                </c:pt>
                <c:pt idx="9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1-4C18-BCC1-F5ABB40B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00576"/>
        <c:axId val="378269120"/>
      </c:barChart>
      <c:catAx>
        <c:axId val="43890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69120"/>
        <c:crosses val="autoZero"/>
        <c:auto val="1"/>
        <c:lblAlgn val="ctr"/>
        <c:lblOffset val="100"/>
        <c:noMultiLvlLbl val="0"/>
      </c:catAx>
      <c:valAx>
        <c:axId val="3782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'33116'!$I$1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'33116'!$I$2:$I$11</c:f>
              <c:numCache>
                <c:formatCode>General</c:formatCode>
                <c:ptCount val="10"/>
                <c:pt idx="0">
                  <c:v>15</c:v>
                </c:pt>
                <c:pt idx="1">
                  <c:v>14.5</c:v>
                </c:pt>
                <c:pt idx="2">
                  <c:v>15</c:v>
                </c:pt>
                <c:pt idx="3">
                  <c:v>15.5</c:v>
                </c:pt>
                <c:pt idx="4">
                  <c:v>16.5</c:v>
                </c:pt>
                <c:pt idx="5">
                  <c:v>16</c:v>
                </c:pt>
                <c:pt idx="6">
                  <c:v>19.5</c:v>
                </c:pt>
                <c:pt idx="7">
                  <c:v>16</c:v>
                </c:pt>
                <c:pt idx="8">
                  <c:v>19</c:v>
                </c:pt>
                <c:pt idx="9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8-40CA-A342-77C41C6A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97080"/>
        <c:axId val="375125608"/>
      </c:barChart>
      <c:catAx>
        <c:axId val="13979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25608"/>
        <c:crosses val="autoZero"/>
        <c:auto val="1"/>
        <c:lblAlgn val="ctr"/>
        <c:lblOffset val="100"/>
        <c:noMultiLvlLbl val="0"/>
      </c:catAx>
      <c:valAx>
        <c:axId val="3751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'113016'!$C$2:$C$10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6.5</c:v>
                </c:pt>
                <c:pt idx="5">
                  <c:v>6.5</c:v>
                </c:pt>
                <c:pt idx="6">
                  <c:v>7</c:v>
                </c:pt>
                <c:pt idx="7">
                  <c:v>6.5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E-48A8-8B17-070B7562F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001416"/>
        <c:axId val="380001808"/>
      </c:barChart>
      <c:catAx>
        <c:axId val="380001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1808"/>
        <c:crosses val="autoZero"/>
        <c:auto val="1"/>
        <c:lblAlgn val="ctr"/>
        <c:lblOffset val="100"/>
        <c:noMultiLvlLbl val="0"/>
      </c:catAx>
      <c:valAx>
        <c:axId val="3800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'113016'!$I$1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'113016'!$I$2:$I$10</c:f>
              <c:numCache>
                <c:formatCode>General</c:formatCode>
                <c:ptCount val="9"/>
                <c:pt idx="0">
                  <c:v>2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5-4581-B9F7-9544167E8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125296"/>
        <c:axId val="377430768"/>
      </c:barChart>
      <c:catAx>
        <c:axId val="4391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30768"/>
        <c:crosses val="autoZero"/>
        <c:auto val="1"/>
        <c:lblAlgn val="ctr"/>
        <c:lblOffset val="100"/>
        <c:noMultiLvlLbl val="0"/>
      </c:catAx>
      <c:valAx>
        <c:axId val="3774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'122216'!$C$1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'122216'!$C$2:$C$13</c:f>
              <c:numCache>
                <c:formatCode>General</c:formatCode>
                <c:ptCount val="12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22.5</c:v>
                </c:pt>
                <c:pt idx="7">
                  <c:v>21</c:v>
                </c:pt>
                <c:pt idx="8">
                  <c:v>23.5</c:v>
                </c:pt>
                <c:pt idx="9">
                  <c:v>22.5</c:v>
                </c:pt>
                <c:pt idx="10">
                  <c:v>22.5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B35-88CC-E7B938866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114344"/>
        <c:axId val="375114736"/>
      </c:barChart>
      <c:catAx>
        <c:axId val="37511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4736"/>
        <c:crosses val="autoZero"/>
        <c:auto val="1"/>
        <c:lblAlgn val="ctr"/>
        <c:lblOffset val="100"/>
        <c:noMultiLvlLbl val="0"/>
      </c:catAx>
      <c:valAx>
        <c:axId val="37511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'122216'!$I$1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'122216'!$I$2:$I$13</c:f>
              <c:numCache>
                <c:formatCode>General</c:formatCode>
                <c:ptCount val="12"/>
                <c:pt idx="0">
                  <c:v>4.5</c:v>
                </c:pt>
                <c:pt idx="1">
                  <c:v>4.5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4.5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4-4B81-9099-D5FC8798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12856"/>
        <c:axId val="374824664"/>
      </c:barChart>
      <c:catAx>
        <c:axId val="377012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24664"/>
        <c:crosses val="autoZero"/>
        <c:auto val="1"/>
        <c:lblAlgn val="ctr"/>
        <c:lblOffset val="100"/>
        <c:noMultiLvlLbl val="0"/>
      </c:catAx>
      <c:valAx>
        <c:axId val="3748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1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2016/17 SWE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1050864576887"/>
          <c:y val="0.14428030303030306"/>
          <c:w val="0.84444640050075037"/>
          <c:h val="0.77163534955857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SWE CS725 TL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Summary!$A$8:$A$13</c:f>
              <c:numCache>
                <c:formatCode>m/d/yyyy</c:formatCode>
                <c:ptCount val="6"/>
                <c:pt idx="0">
                  <c:v>42704</c:v>
                </c:pt>
                <c:pt idx="1">
                  <c:v>42726</c:v>
                </c:pt>
                <c:pt idx="2">
                  <c:v>42755</c:v>
                </c:pt>
                <c:pt idx="3">
                  <c:v>42776</c:v>
                </c:pt>
                <c:pt idx="4">
                  <c:v>42796</c:v>
                </c:pt>
                <c:pt idx="5">
                  <c:v>42856</c:v>
                </c:pt>
              </c:numCache>
            </c:numRef>
          </c:xVal>
          <c:yVal>
            <c:numRef>
              <c:f>Summary!$B$8:$B$13</c:f>
              <c:numCache>
                <c:formatCode>0.0</c:formatCode>
                <c:ptCount val="6"/>
                <c:pt idx="0">
                  <c:v>0.86614173228346458</c:v>
                </c:pt>
                <c:pt idx="1">
                  <c:v>4.8031496062992129</c:v>
                </c:pt>
                <c:pt idx="2">
                  <c:v>12.165354330708663</c:v>
                </c:pt>
                <c:pt idx="3">
                  <c:v>13.54</c:v>
                </c:pt>
                <c:pt idx="4">
                  <c:v>15.511811023622048</c:v>
                </c:pt>
                <c:pt idx="5">
                  <c:v>7.0866141732283472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A-4F20-BF70-2DC6BFD1E7CA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SWE CS725 K (in)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Summary!$A$8:$A$13</c:f>
              <c:numCache>
                <c:formatCode>m/d/yyyy</c:formatCode>
                <c:ptCount val="6"/>
                <c:pt idx="0">
                  <c:v>42704</c:v>
                </c:pt>
                <c:pt idx="1">
                  <c:v>42726</c:v>
                </c:pt>
                <c:pt idx="2">
                  <c:v>42755</c:v>
                </c:pt>
                <c:pt idx="3">
                  <c:v>42776</c:v>
                </c:pt>
                <c:pt idx="4">
                  <c:v>42796</c:v>
                </c:pt>
                <c:pt idx="5">
                  <c:v>42856</c:v>
                </c:pt>
              </c:numCache>
            </c:numRef>
          </c:xVal>
          <c:yVal>
            <c:numRef>
              <c:f>Summary!$C$8:$C$13</c:f>
              <c:numCache>
                <c:formatCode>0.0</c:formatCode>
                <c:ptCount val="6"/>
                <c:pt idx="0">
                  <c:v>1.0236220472440944</c:v>
                </c:pt>
                <c:pt idx="1">
                  <c:v>5.1181102362204731</c:v>
                </c:pt>
                <c:pt idx="2">
                  <c:v>12.874015748031496</c:v>
                </c:pt>
                <c:pt idx="3">
                  <c:v>15.16</c:v>
                </c:pt>
                <c:pt idx="4">
                  <c:v>16.8503937007874</c:v>
                </c:pt>
                <c:pt idx="5">
                  <c:v>7.2834645669291342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A-4F20-BF70-2DC6BFD1E7CA}"/>
            </c:ext>
          </c:extLst>
        </c:ser>
        <c:ser>
          <c:idx val="2"/>
          <c:order val="2"/>
          <c:tx>
            <c:strRef>
              <c:f>Summary!$E$2</c:f>
              <c:strCache>
                <c:ptCount val="1"/>
                <c:pt idx="0">
                  <c:v>SWE Obs fed sampler AVG (in)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Summary!$A$8:$A$13</c:f>
              <c:numCache>
                <c:formatCode>m/d/yyyy</c:formatCode>
                <c:ptCount val="6"/>
                <c:pt idx="0">
                  <c:v>42704</c:v>
                </c:pt>
                <c:pt idx="1">
                  <c:v>42726</c:v>
                </c:pt>
                <c:pt idx="2">
                  <c:v>42755</c:v>
                </c:pt>
                <c:pt idx="3">
                  <c:v>42776</c:v>
                </c:pt>
                <c:pt idx="4">
                  <c:v>42796</c:v>
                </c:pt>
                <c:pt idx="5">
                  <c:v>42856</c:v>
                </c:pt>
              </c:numCache>
            </c:numRef>
          </c:xVal>
          <c:yVal>
            <c:numRef>
              <c:f>Summary!$E$8:$E$13</c:f>
              <c:numCache>
                <c:formatCode>0.0</c:formatCode>
                <c:ptCount val="6"/>
                <c:pt idx="0">
                  <c:v>1.65</c:v>
                </c:pt>
                <c:pt idx="1">
                  <c:v>4.916666666666667</c:v>
                </c:pt>
                <c:pt idx="2">
                  <c:v>13.65</c:v>
                </c:pt>
                <c:pt idx="3">
                  <c:v>16.2</c:v>
                </c:pt>
                <c:pt idx="4">
                  <c:v>18.75</c:v>
                </c:pt>
                <c:pt idx="5">
                  <c:v>10.166666666666666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2A-4F20-BF70-2DC6BFD1E7CA}"/>
            </c:ext>
          </c:extLst>
        </c:ser>
        <c:ser>
          <c:idx val="3"/>
          <c:order val="3"/>
          <c:tx>
            <c:strRef>
              <c:f>Summary!$F$2</c:f>
              <c:strCache>
                <c:ptCount val="1"/>
                <c:pt idx="0">
                  <c:v>SWE Obs fed sampler AVG cor (in)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Summary!$A$8:$A$13</c:f>
              <c:numCache>
                <c:formatCode>m/d/yyyy</c:formatCode>
                <c:ptCount val="6"/>
                <c:pt idx="0">
                  <c:v>42704</c:v>
                </c:pt>
                <c:pt idx="1">
                  <c:v>42726</c:v>
                </c:pt>
                <c:pt idx="2">
                  <c:v>42755</c:v>
                </c:pt>
                <c:pt idx="3">
                  <c:v>42776</c:v>
                </c:pt>
                <c:pt idx="4">
                  <c:v>42796</c:v>
                </c:pt>
                <c:pt idx="5">
                  <c:v>42856</c:v>
                </c:pt>
              </c:numCache>
            </c:numRef>
          </c:xVal>
          <c:yVal>
            <c:numRef>
              <c:f>Summary!$F$8:$F$13</c:f>
              <c:numCache>
                <c:formatCode>0.0</c:formatCode>
                <c:ptCount val="6"/>
                <c:pt idx="0">
                  <c:v>1.5277777777777777</c:v>
                </c:pt>
                <c:pt idx="1">
                  <c:v>4.5524691358024691</c:v>
                </c:pt>
                <c:pt idx="2">
                  <c:v>12.638888888888888</c:v>
                </c:pt>
                <c:pt idx="3">
                  <c:v>14.999999999999998</c:v>
                </c:pt>
                <c:pt idx="4">
                  <c:v>17.361111111111111</c:v>
                </c:pt>
                <c:pt idx="5">
                  <c:v>9.413580246913579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2A-4F20-BF70-2DC6BFD1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11096"/>
        <c:axId val="379501936"/>
      </c:scatterChart>
      <c:valAx>
        <c:axId val="44261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1936"/>
        <c:crosses val="autoZero"/>
        <c:crossBetween val="midCat"/>
      </c:valAx>
      <c:valAx>
        <c:axId val="379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1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516548236348507E-2"/>
          <c:y val="7.7820031018849892E-2"/>
          <c:w val="0.51165418347096858"/>
          <c:h val="0.25379145788594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'12017'!$C$1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'12017'!$C$4:$C$13</c:f>
              <c:numCache>
                <c:formatCode>General</c:formatCode>
                <c:ptCount val="10"/>
                <c:pt idx="0">
                  <c:v>51.5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56</c:v>
                </c:pt>
                <c:pt idx="7">
                  <c:v>56.5</c:v>
                </c:pt>
                <c:pt idx="8">
                  <c:v>52.5</c:v>
                </c:pt>
                <c:pt idx="9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A-4C6F-BACF-BAE1EC2D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79648"/>
        <c:axId val="374180040"/>
      </c:barChart>
      <c:catAx>
        <c:axId val="37417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80040"/>
        <c:crosses val="autoZero"/>
        <c:auto val="1"/>
        <c:lblAlgn val="ctr"/>
        <c:lblOffset val="100"/>
        <c:noMultiLvlLbl val="0"/>
      </c:catAx>
      <c:valAx>
        <c:axId val="374180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'12017'!$I$1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'12017'!$I$4:$I$13</c:f>
              <c:numCache>
                <c:formatCode>General</c:formatCode>
                <c:ptCount val="10"/>
                <c:pt idx="0">
                  <c:v>13.5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12.5</c:v>
                </c:pt>
                <c:pt idx="5">
                  <c:v>13</c:v>
                </c:pt>
                <c:pt idx="6">
                  <c:v>14</c:v>
                </c:pt>
                <c:pt idx="7">
                  <c:v>14.5</c:v>
                </c:pt>
                <c:pt idx="8">
                  <c:v>14.5</c:v>
                </c:pt>
                <c:pt idx="9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B-46D6-A3C3-B7868261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73896"/>
        <c:axId val="381149536"/>
      </c:barChart>
      <c:catAx>
        <c:axId val="37417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9536"/>
        <c:crosses val="autoZero"/>
        <c:auto val="1"/>
        <c:lblAlgn val="ctr"/>
        <c:lblOffset val="100"/>
        <c:noMultiLvlLbl val="0"/>
      </c:catAx>
      <c:valAx>
        <c:axId val="381149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'021017'!$C$1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'021017'!$C$4:$C$13</c:f>
              <c:numCache>
                <c:formatCode>General</c:formatCode>
                <c:ptCount val="10"/>
                <c:pt idx="0">
                  <c:v>48</c:v>
                </c:pt>
                <c:pt idx="1">
                  <c:v>47</c:v>
                </c:pt>
                <c:pt idx="2">
                  <c:v>49</c:v>
                </c:pt>
                <c:pt idx="3">
                  <c:v>47.5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47.5</c:v>
                </c:pt>
                <c:pt idx="8">
                  <c:v>45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6-40D3-BF04-3B5B2196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175640"/>
        <c:axId val="381176032"/>
      </c:barChart>
      <c:catAx>
        <c:axId val="381175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76032"/>
        <c:crosses val="autoZero"/>
        <c:auto val="1"/>
        <c:lblAlgn val="ctr"/>
        <c:lblOffset val="100"/>
        <c:noMultiLvlLbl val="0"/>
      </c:catAx>
      <c:valAx>
        <c:axId val="38117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7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'021017'!$I$1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'021017'!$I$4:$I$13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16.5</c:v>
                </c:pt>
                <c:pt idx="3">
                  <c:v>16.5</c:v>
                </c:pt>
                <c:pt idx="4">
                  <c:v>16</c:v>
                </c:pt>
                <c:pt idx="5">
                  <c:v>17</c:v>
                </c:pt>
                <c:pt idx="6">
                  <c:v>16.5</c:v>
                </c:pt>
                <c:pt idx="7">
                  <c:v>15.5</c:v>
                </c:pt>
                <c:pt idx="8">
                  <c:v>14.5</c:v>
                </c:pt>
                <c:pt idx="9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D-4023-8962-FEB0F36D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522560"/>
        <c:axId val="375032592"/>
      </c:barChart>
      <c:catAx>
        <c:axId val="3755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32592"/>
        <c:crosses val="autoZero"/>
        <c:auto val="1"/>
        <c:lblAlgn val="ctr"/>
        <c:lblOffset val="100"/>
        <c:noMultiLvlLbl val="0"/>
      </c:catAx>
      <c:valAx>
        <c:axId val="375032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'030217'!$C$1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'030217'!$C$4:$C$13</c:f>
              <c:numCache>
                <c:formatCode>General</c:formatCode>
                <c:ptCount val="10"/>
                <c:pt idx="0">
                  <c:v>61</c:v>
                </c:pt>
                <c:pt idx="1">
                  <c:v>60</c:v>
                </c:pt>
                <c:pt idx="2">
                  <c:v>62</c:v>
                </c:pt>
                <c:pt idx="5">
                  <c:v>62</c:v>
                </c:pt>
                <c:pt idx="6">
                  <c:v>55</c:v>
                </c:pt>
                <c:pt idx="8">
                  <c:v>62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0-467B-94C5-56012109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42936"/>
        <c:axId val="379043328"/>
      </c:barChart>
      <c:catAx>
        <c:axId val="37904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43328"/>
        <c:crosses val="autoZero"/>
        <c:auto val="1"/>
        <c:lblAlgn val="ctr"/>
        <c:lblOffset val="100"/>
        <c:noMultiLvlLbl val="0"/>
      </c:catAx>
      <c:valAx>
        <c:axId val="379043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'030217'!$I$1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'030217'!$I$4:$I$13</c:f>
              <c:numCache>
                <c:formatCode>General</c:formatCode>
                <c:ptCount val="10"/>
                <c:pt idx="0">
                  <c:v>21.5</c:v>
                </c:pt>
                <c:pt idx="1">
                  <c:v>21.5</c:v>
                </c:pt>
                <c:pt idx="5">
                  <c:v>17</c:v>
                </c:pt>
                <c:pt idx="6">
                  <c:v>17.5</c:v>
                </c:pt>
                <c:pt idx="8">
                  <c:v>18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E-4234-8586-F3F9AE507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036064"/>
        <c:axId val="438835088"/>
      </c:barChart>
      <c:catAx>
        <c:axId val="38303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5088"/>
        <c:crosses val="autoZero"/>
        <c:auto val="1"/>
        <c:lblAlgn val="ctr"/>
        <c:lblOffset val="100"/>
        <c:noMultiLvlLbl val="0"/>
      </c:catAx>
      <c:valAx>
        <c:axId val="43883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'050117'!$C$1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'050117'!$C$4:$C$15</c:f>
              <c:numCache>
                <c:formatCode>General</c:formatCode>
                <c:ptCount val="12"/>
                <c:pt idx="0">
                  <c:v>19.5</c:v>
                </c:pt>
                <c:pt idx="1">
                  <c:v>14.5</c:v>
                </c:pt>
                <c:pt idx="2">
                  <c:v>15.5</c:v>
                </c:pt>
                <c:pt idx="3">
                  <c:v>14.5</c:v>
                </c:pt>
                <c:pt idx="4">
                  <c:v>26.5</c:v>
                </c:pt>
                <c:pt idx="5">
                  <c:v>27</c:v>
                </c:pt>
                <c:pt idx="6">
                  <c:v>34</c:v>
                </c:pt>
                <c:pt idx="7">
                  <c:v>33</c:v>
                </c:pt>
                <c:pt idx="8">
                  <c:v>31.5</c:v>
                </c:pt>
                <c:pt idx="9">
                  <c:v>30.5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4-40BC-B84F-54B2F6F9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512952"/>
        <c:axId val="375513344"/>
      </c:barChart>
      <c:catAx>
        <c:axId val="37551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13344"/>
        <c:crosses val="autoZero"/>
        <c:auto val="1"/>
        <c:lblAlgn val="ctr"/>
        <c:lblOffset val="100"/>
        <c:noMultiLvlLbl val="0"/>
      </c:catAx>
      <c:valAx>
        <c:axId val="37551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1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'050117'!$I$1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'050117'!$I$4:$I$15</c:f>
              <c:numCache>
                <c:formatCode>General</c:formatCode>
                <c:ptCount val="12"/>
                <c:pt idx="0">
                  <c:v>5.5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13.5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D-4083-9563-CC8765F63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43696"/>
        <c:axId val="375518072"/>
      </c:barChart>
      <c:catAx>
        <c:axId val="37394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18072"/>
        <c:crosses val="autoZero"/>
        <c:auto val="1"/>
        <c:lblAlgn val="ctr"/>
        <c:lblOffset val="100"/>
        <c:noMultiLvlLbl val="0"/>
      </c:catAx>
      <c:valAx>
        <c:axId val="375518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'121417'!$C$1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'121417'!$C$4:$C$15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9.5</c:v>
                </c:pt>
                <c:pt idx="3">
                  <c:v>8.5</c:v>
                </c:pt>
                <c:pt idx="4">
                  <c:v>5.5</c:v>
                </c:pt>
                <c:pt idx="5">
                  <c:v>6</c:v>
                </c:pt>
                <c:pt idx="6">
                  <c:v>5.5</c:v>
                </c:pt>
                <c:pt idx="7">
                  <c:v>5.5</c:v>
                </c:pt>
                <c:pt idx="8">
                  <c:v>6.75</c:v>
                </c:pt>
                <c:pt idx="9">
                  <c:v>7.25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E-414A-8C9B-D79ACC9E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174712"/>
        <c:axId val="379175104"/>
      </c:barChart>
      <c:catAx>
        <c:axId val="37917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75104"/>
        <c:crosses val="autoZero"/>
        <c:auto val="1"/>
        <c:lblAlgn val="ctr"/>
        <c:lblOffset val="100"/>
        <c:noMultiLvlLbl val="0"/>
      </c:catAx>
      <c:valAx>
        <c:axId val="379175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7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'121417'!$I$1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'121417'!$I$4:$I$15</c:f>
              <c:numCache>
                <c:formatCode>General</c:formatCode>
                <c:ptCount val="12"/>
                <c:pt idx="0">
                  <c:v>1.75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1.5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1.5</c:v>
                </c:pt>
                <c:pt idx="11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9-43DE-A096-3587A4FB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530752"/>
        <c:axId val="374170840"/>
      </c:barChart>
      <c:catAx>
        <c:axId val="37553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0840"/>
        <c:crosses val="autoZero"/>
        <c:auto val="1"/>
        <c:lblAlgn val="ctr"/>
        <c:lblOffset val="100"/>
        <c:noMultiLvlLbl val="0"/>
      </c:catAx>
      <c:valAx>
        <c:axId val="374170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 SWE vs Gamma</a:t>
            </a:r>
            <a:r>
              <a:rPr lang="en-US" baseline="0"/>
              <a:t> SWE 16/17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38218466963094"/>
          <c:y val="2.4175769321886489E-2"/>
          <c:w val="0.77861381803488761"/>
          <c:h val="0.83960991506156224"/>
        </c:manualLayout>
      </c:layout>
      <c:scatterChart>
        <c:scatterStyle val="lineMarker"/>
        <c:varyColors val="0"/>
        <c:ser>
          <c:idx val="1"/>
          <c:order val="0"/>
          <c:tx>
            <c:v>Tl vs Fed Corected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Summary!$F$8:$F$13</c:f>
              <c:numCache>
                <c:formatCode>0.0</c:formatCode>
                <c:ptCount val="6"/>
                <c:pt idx="0">
                  <c:v>1.5277777777777777</c:v>
                </c:pt>
                <c:pt idx="1">
                  <c:v>4.5524691358024691</c:v>
                </c:pt>
                <c:pt idx="2">
                  <c:v>12.638888888888888</c:v>
                </c:pt>
                <c:pt idx="3">
                  <c:v>14.999999999999998</c:v>
                </c:pt>
                <c:pt idx="4">
                  <c:v>17.361111111111111</c:v>
                </c:pt>
                <c:pt idx="5">
                  <c:v>9.413580246913579</c:v>
                </c:pt>
              </c:numCache>
            </c:numRef>
          </c:xVal>
          <c:yVal>
            <c:numRef>
              <c:f>Summary!$B$8:$B$13</c:f>
              <c:numCache>
                <c:formatCode>0.0</c:formatCode>
                <c:ptCount val="6"/>
                <c:pt idx="0">
                  <c:v>0.86614173228346458</c:v>
                </c:pt>
                <c:pt idx="1">
                  <c:v>4.8031496062992129</c:v>
                </c:pt>
                <c:pt idx="2">
                  <c:v>12.165354330708663</c:v>
                </c:pt>
                <c:pt idx="3">
                  <c:v>13.54</c:v>
                </c:pt>
                <c:pt idx="4">
                  <c:v>15.511811023622048</c:v>
                </c:pt>
                <c:pt idx="5">
                  <c:v>7.0866141732283472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9-44E5-BC8D-BB0D689DB95F}"/>
            </c:ext>
          </c:extLst>
        </c:ser>
        <c:ser>
          <c:idx val="2"/>
          <c:order val="1"/>
          <c:tx>
            <c:v>K vs Fed Corrected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Summary!$F$8:$F$13</c:f>
              <c:numCache>
                <c:formatCode>0.0</c:formatCode>
                <c:ptCount val="6"/>
                <c:pt idx="0">
                  <c:v>1.5277777777777777</c:v>
                </c:pt>
                <c:pt idx="1">
                  <c:v>4.5524691358024691</c:v>
                </c:pt>
                <c:pt idx="2">
                  <c:v>12.638888888888888</c:v>
                </c:pt>
                <c:pt idx="3">
                  <c:v>14.999999999999998</c:v>
                </c:pt>
                <c:pt idx="4">
                  <c:v>17.361111111111111</c:v>
                </c:pt>
                <c:pt idx="5">
                  <c:v>9.413580246913579</c:v>
                </c:pt>
              </c:numCache>
            </c:numRef>
          </c:xVal>
          <c:yVal>
            <c:numRef>
              <c:f>Summary!$C$8:$C$13</c:f>
              <c:numCache>
                <c:formatCode>0.0</c:formatCode>
                <c:ptCount val="6"/>
                <c:pt idx="0">
                  <c:v>1.0236220472440944</c:v>
                </c:pt>
                <c:pt idx="1">
                  <c:v>5.1181102362204731</c:v>
                </c:pt>
                <c:pt idx="2">
                  <c:v>12.874015748031496</c:v>
                </c:pt>
                <c:pt idx="3">
                  <c:v>15.16</c:v>
                </c:pt>
                <c:pt idx="4">
                  <c:v>16.8503937007874</c:v>
                </c:pt>
                <c:pt idx="5">
                  <c:v>7.2834645669291342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9-44E5-BC8D-BB0D689DB95F}"/>
            </c:ext>
          </c:extLst>
        </c:ser>
        <c:ser>
          <c:idx val="3"/>
          <c:order val="2"/>
          <c:tx>
            <c:v>1 to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Summary!$Z$9:$Z$10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Summary!$AA$9:$AA$10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9-44E5-BC8D-BB0D689D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02720"/>
        <c:axId val="379503112"/>
      </c:scatterChart>
      <c:valAx>
        <c:axId val="3795027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 Sampler Corrected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3112"/>
        <c:crosses val="autoZero"/>
        <c:crossBetween val="midCat"/>
      </c:valAx>
      <c:valAx>
        <c:axId val="37950311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SWE sensor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0105167904360559"/>
          <c:y val="0.54892936230998213"/>
          <c:w val="0.45380513879664414"/>
          <c:h val="0.28945802303706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'011118'!$C$1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'011118'!$C$4:$C$15</c:f>
              <c:numCache>
                <c:formatCode>General</c:formatCode>
                <c:ptCount val="12"/>
                <c:pt idx="0">
                  <c:v>15.5</c:v>
                </c:pt>
                <c:pt idx="1">
                  <c:v>15.5</c:v>
                </c:pt>
                <c:pt idx="2">
                  <c:v>17.5</c:v>
                </c:pt>
                <c:pt idx="3">
                  <c:v>17</c:v>
                </c:pt>
                <c:pt idx="4">
                  <c:v>16</c:v>
                </c:pt>
                <c:pt idx="5">
                  <c:v>15.5</c:v>
                </c:pt>
                <c:pt idx="6">
                  <c:v>16</c:v>
                </c:pt>
                <c:pt idx="7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B-422F-895C-464A9A92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71624"/>
        <c:axId val="374172016"/>
      </c:barChart>
      <c:catAx>
        <c:axId val="37417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2016"/>
        <c:crosses val="autoZero"/>
        <c:auto val="1"/>
        <c:lblAlgn val="ctr"/>
        <c:lblOffset val="100"/>
        <c:noMultiLvlLbl val="0"/>
      </c:catAx>
      <c:valAx>
        <c:axId val="37417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7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'011118'!$I$1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'011118'!$I$4:$I$15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4.5</c:v>
                </c:pt>
                <c:pt idx="3">
                  <c:v>4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4</c:v>
                </c:pt>
                <c:pt idx="8">
                  <c:v>3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4243-A97D-520FAAEC4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66544"/>
        <c:axId val="434966936"/>
      </c:barChart>
      <c:catAx>
        <c:axId val="43496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6936"/>
        <c:crosses val="autoZero"/>
        <c:auto val="1"/>
        <c:lblAlgn val="ctr"/>
        <c:lblOffset val="100"/>
        <c:noMultiLvlLbl val="0"/>
      </c:catAx>
      <c:valAx>
        <c:axId val="434966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'020118'!$C$1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'020118'!$F$4:$F$15</c:f>
              <c:numCache>
                <c:formatCode>General</c:formatCode>
                <c:ptCount val="12"/>
                <c:pt idx="0">
                  <c:v>28</c:v>
                </c:pt>
                <c:pt idx="1">
                  <c:v>27.5</c:v>
                </c:pt>
                <c:pt idx="2">
                  <c:v>28</c:v>
                </c:pt>
                <c:pt idx="3">
                  <c:v>28.5</c:v>
                </c:pt>
                <c:pt idx="4">
                  <c:v>25</c:v>
                </c:pt>
                <c:pt idx="5">
                  <c:v>25.5</c:v>
                </c:pt>
                <c:pt idx="6">
                  <c:v>26</c:v>
                </c:pt>
                <c:pt idx="7">
                  <c:v>26</c:v>
                </c:pt>
                <c:pt idx="8">
                  <c:v>28</c:v>
                </c:pt>
                <c:pt idx="9">
                  <c:v>27</c:v>
                </c:pt>
                <c:pt idx="10">
                  <c:v>25.5</c:v>
                </c:pt>
                <c:pt idx="11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8-402F-9D5D-F7A7754A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67720"/>
        <c:axId val="434968112"/>
      </c:barChart>
      <c:catAx>
        <c:axId val="43496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8112"/>
        <c:crosses val="autoZero"/>
        <c:auto val="1"/>
        <c:lblAlgn val="ctr"/>
        <c:lblOffset val="100"/>
        <c:noMultiLvlLbl val="0"/>
      </c:catAx>
      <c:valAx>
        <c:axId val="43496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'020118'!$I$1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'020118'!$I$4:$I$15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</c:v>
                </c:pt>
                <c:pt idx="10">
                  <c:v>7</c:v>
                </c:pt>
                <c:pt idx="1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7A5-8039-0806FF9C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571928"/>
        <c:axId val="437572320"/>
      </c:barChart>
      <c:catAx>
        <c:axId val="43757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2320"/>
        <c:crosses val="autoZero"/>
        <c:auto val="1"/>
        <c:lblAlgn val="ctr"/>
        <c:lblOffset val="100"/>
        <c:noMultiLvlLbl val="0"/>
      </c:catAx>
      <c:valAx>
        <c:axId val="437572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'022118'!$C$1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'022118'!$F$4:$F$15</c:f>
              <c:numCache>
                <c:formatCode>General</c:formatCode>
                <c:ptCount val="12"/>
                <c:pt idx="0">
                  <c:v>26.17</c:v>
                </c:pt>
                <c:pt idx="1">
                  <c:v>27</c:v>
                </c:pt>
                <c:pt idx="2">
                  <c:v>27.75</c:v>
                </c:pt>
                <c:pt idx="3">
                  <c:v>28</c:v>
                </c:pt>
                <c:pt idx="4">
                  <c:v>23.5</c:v>
                </c:pt>
                <c:pt idx="5">
                  <c:v>25</c:v>
                </c:pt>
                <c:pt idx="6">
                  <c:v>26.5</c:v>
                </c:pt>
                <c:pt idx="7">
                  <c:v>27</c:v>
                </c:pt>
                <c:pt idx="8">
                  <c:v>29.5</c:v>
                </c:pt>
                <c:pt idx="9">
                  <c:v>29.5</c:v>
                </c:pt>
                <c:pt idx="10">
                  <c:v>27.5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6-400D-938F-F4BBF2CB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573104"/>
        <c:axId val="435423824"/>
      </c:barChart>
      <c:catAx>
        <c:axId val="43757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3824"/>
        <c:crosses val="autoZero"/>
        <c:auto val="1"/>
        <c:lblAlgn val="ctr"/>
        <c:lblOffset val="100"/>
        <c:noMultiLvlLbl val="0"/>
      </c:catAx>
      <c:valAx>
        <c:axId val="43542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'022118'!$I$1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'022118'!$I$4:$I$15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4-42DF-8D24-F6038FB9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24608"/>
        <c:axId val="435425000"/>
      </c:barChart>
      <c:catAx>
        <c:axId val="43542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5000"/>
        <c:crosses val="autoZero"/>
        <c:auto val="1"/>
        <c:lblAlgn val="ctr"/>
        <c:lblOffset val="100"/>
        <c:noMultiLvlLbl val="0"/>
      </c:catAx>
      <c:valAx>
        <c:axId val="435425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'030818'!$C$1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'030818'!$F$4:$F$15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  <c:pt idx="5">
                  <c:v>36.5</c:v>
                </c:pt>
                <c:pt idx="6">
                  <c:v>37.5</c:v>
                </c:pt>
                <c:pt idx="7">
                  <c:v>37.5</c:v>
                </c:pt>
                <c:pt idx="8">
                  <c:v>40.5</c:v>
                </c:pt>
                <c:pt idx="9">
                  <c:v>40</c:v>
                </c:pt>
                <c:pt idx="10">
                  <c:v>36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5-4AE5-99CA-86486ED35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71232"/>
        <c:axId val="436371624"/>
      </c:barChart>
      <c:catAx>
        <c:axId val="43637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1624"/>
        <c:crosses val="autoZero"/>
        <c:auto val="1"/>
        <c:lblAlgn val="ctr"/>
        <c:lblOffset val="100"/>
        <c:noMultiLvlLbl val="0"/>
      </c:catAx>
      <c:valAx>
        <c:axId val="436371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'030818'!$I$1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'030818'!$I$4:$I$15</c:f>
              <c:numCache>
                <c:formatCode>General</c:formatCode>
                <c:ptCount val="12"/>
                <c:pt idx="0">
                  <c:v>9.5</c:v>
                </c:pt>
                <c:pt idx="1">
                  <c:v>10.5</c:v>
                </c:pt>
                <c:pt idx="2">
                  <c:v>10.5</c:v>
                </c:pt>
                <c:pt idx="3">
                  <c:v>11</c:v>
                </c:pt>
                <c:pt idx="4">
                  <c:v>9.5</c:v>
                </c:pt>
                <c:pt idx="5">
                  <c:v>10.5</c:v>
                </c:pt>
                <c:pt idx="6">
                  <c:v>11</c:v>
                </c:pt>
                <c:pt idx="7">
                  <c:v>10.5</c:v>
                </c:pt>
                <c:pt idx="8">
                  <c:v>11</c:v>
                </c:pt>
                <c:pt idx="9">
                  <c:v>11</c:v>
                </c:pt>
                <c:pt idx="10">
                  <c:v>10.5</c:v>
                </c:pt>
                <c:pt idx="11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C-4A9E-B0D3-4834DA59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72408"/>
        <c:axId val="436372800"/>
      </c:barChart>
      <c:catAx>
        <c:axId val="43637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2800"/>
        <c:crosses val="autoZero"/>
        <c:auto val="1"/>
        <c:lblAlgn val="ctr"/>
        <c:lblOffset val="100"/>
        <c:noMultiLvlLbl val="0"/>
      </c:catAx>
      <c:valAx>
        <c:axId val="436372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'031918'!$C$1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'031918'!$F$4:$F$15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  <c:pt idx="5">
                  <c:v>36.5</c:v>
                </c:pt>
                <c:pt idx="6">
                  <c:v>37.5</c:v>
                </c:pt>
                <c:pt idx="7">
                  <c:v>37.5</c:v>
                </c:pt>
                <c:pt idx="8">
                  <c:v>40.5</c:v>
                </c:pt>
                <c:pt idx="9">
                  <c:v>40</c:v>
                </c:pt>
                <c:pt idx="10">
                  <c:v>36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1-4945-9353-FAD60FE8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73584"/>
        <c:axId val="436373976"/>
      </c:barChart>
      <c:catAx>
        <c:axId val="43637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3976"/>
        <c:crosses val="autoZero"/>
        <c:auto val="1"/>
        <c:lblAlgn val="ctr"/>
        <c:lblOffset val="100"/>
        <c:noMultiLvlLbl val="0"/>
      </c:catAx>
      <c:valAx>
        <c:axId val="436373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'031918'!$I$1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'031918'!$I$4:$I$15</c:f>
              <c:numCache>
                <c:formatCode>General</c:formatCode>
                <c:ptCount val="12"/>
                <c:pt idx="0">
                  <c:v>9.5</c:v>
                </c:pt>
                <c:pt idx="1">
                  <c:v>10.5</c:v>
                </c:pt>
                <c:pt idx="2">
                  <c:v>10.5</c:v>
                </c:pt>
                <c:pt idx="3">
                  <c:v>11</c:v>
                </c:pt>
                <c:pt idx="4">
                  <c:v>9.5</c:v>
                </c:pt>
                <c:pt idx="5">
                  <c:v>10.5</c:v>
                </c:pt>
                <c:pt idx="6">
                  <c:v>11</c:v>
                </c:pt>
                <c:pt idx="7">
                  <c:v>10.5</c:v>
                </c:pt>
                <c:pt idx="8">
                  <c:v>11</c:v>
                </c:pt>
                <c:pt idx="9">
                  <c:v>11</c:v>
                </c:pt>
                <c:pt idx="10">
                  <c:v>10.5</c:v>
                </c:pt>
                <c:pt idx="11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1-4FC7-974E-CCFAAD241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74760"/>
        <c:axId val="436607976"/>
      </c:barChart>
      <c:catAx>
        <c:axId val="43637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07976"/>
        <c:crosses val="autoZero"/>
        <c:auto val="1"/>
        <c:lblAlgn val="ctr"/>
        <c:lblOffset val="100"/>
        <c:noMultiLvlLbl val="0"/>
      </c:catAx>
      <c:valAx>
        <c:axId val="436607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2017/18 SWE Calibration</a:t>
            </a:r>
          </a:p>
        </c:rich>
      </c:tx>
      <c:layout>
        <c:manualLayout>
          <c:xMode val="edge"/>
          <c:yMode val="edge"/>
          <c:x val="0.35417154645649229"/>
          <c:y val="2.785515320334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1050864576887"/>
          <c:y val="0.14428030303030306"/>
          <c:w val="0.84444640050075037"/>
          <c:h val="0.77163534955857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SWE CS725 TL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Summary!$A$15:$A$20</c:f>
              <c:numCache>
                <c:formatCode>m/d/yy;@</c:formatCode>
                <c:ptCount val="6"/>
                <c:pt idx="0" formatCode="m/d/yyyy">
                  <c:v>43083</c:v>
                </c:pt>
                <c:pt idx="1">
                  <c:v>43111</c:v>
                </c:pt>
                <c:pt idx="2">
                  <c:v>43132</c:v>
                </c:pt>
                <c:pt idx="3">
                  <c:v>43152</c:v>
                </c:pt>
                <c:pt idx="4" formatCode="m/d/yyyy">
                  <c:v>43167</c:v>
                </c:pt>
                <c:pt idx="5" formatCode="m/d/yyyy">
                  <c:v>43203</c:v>
                </c:pt>
              </c:numCache>
            </c:numRef>
          </c:xVal>
          <c:yVal>
            <c:numRef>
              <c:f>Summary!$B$15:$B$20</c:f>
              <c:numCache>
                <c:formatCode>General</c:formatCode>
                <c:ptCount val="6"/>
                <c:pt idx="0">
                  <c:v>1.34</c:v>
                </c:pt>
                <c:pt idx="1">
                  <c:v>3.31</c:v>
                </c:pt>
                <c:pt idx="2">
                  <c:v>6.73</c:v>
                </c:pt>
                <c:pt idx="3">
                  <c:v>6.97</c:v>
                </c:pt>
                <c:pt idx="4" formatCode="0.00">
                  <c:v>9.98</c:v>
                </c:pt>
                <c:pt idx="5">
                  <c:v>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8-473A-BAEE-C658C3AA3892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SWE CS725 K (in)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Summary!$A$15:$A$20</c:f>
              <c:numCache>
                <c:formatCode>m/d/yy;@</c:formatCode>
                <c:ptCount val="6"/>
                <c:pt idx="0" formatCode="m/d/yyyy">
                  <c:v>43083</c:v>
                </c:pt>
                <c:pt idx="1">
                  <c:v>43111</c:v>
                </c:pt>
                <c:pt idx="2">
                  <c:v>43132</c:v>
                </c:pt>
                <c:pt idx="3">
                  <c:v>43152</c:v>
                </c:pt>
                <c:pt idx="4" formatCode="m/d/yyyy">
                  <c:v>43167</c:v>
                </c:pt>
                <c:pt idx="5" formatCode="m/d/yyyy">
                  <c:v>43203</c:v>
                </c:pt>
              </c:numCache>
            </c:numRef>
          </c:xVal>
          <c:yVal>
            <c:numRef>
              <c:f>Summary!$C$15:$C$20</c:f>
              <c:numCache>
                <c:formatCode>General</c:formatCode>
                <c:ptCount val="6"/>
                <c:pt idx="0">
                  <c:v>1.42</c:v>
                </c:pt>
                <c:pt idx="1">
                  <c:v>3.54</c:v>
                </c:pt>
                <c:pt idx="2">
                  <c:v>7.05</c:v>
                </c:pt>
                <c:pt idx="3">
                  <c:v>7.28</c:v>
                </c:pt>
                <c:pt idx="4" formatCode="0.00">
                  <c:v>10.26</c:v>
                </c:pt>
                <c:pt idx="5">
                  <c:v>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8-473A-BAEE-C658C3AA3892}"/>
            </c:ext>
          </c:extLst>
        </c:ser>
        <c:ser>
          <c:idx val="2"/>
          <c:order val="2"/>
          <c:tx>
            <c:strRef>
              <c:f>Summary!$E$2</c:f>
              <c:strCache>
                <c:ptCount val="1"/>
                <c:pt idx="0">
                  <c:v>SWE Obs fed sampler AVG (in)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Summary!$A$15:$A$20</c:f>
              <c:numCache>
                <c:formatCode>m/d/yy;@</c:formatCode>
                <c:ptCount val="6"/>
                <c:pt idx="0" formatCode="m/d/yyyy">
                  <c:v>43083</c:v>
                </c:pt>
                <c:pt idx="1">
                  <c:v>43111</c:v>
                </c:pt>
                <c:pt idx="2">
                  <c:v>43132</c:v>
                </c:pt>
                <c:pt idx="3">
                  <c:v>43152</c:v>
                </c:pt>
                <c:pt idx="4" formatCode="m/d/yyyy">
                  <c:v>43167</c:v>
                </c:pt>
                <c:pt idx="5" formatCode="m/d/yyyy">
                  <c:v>43203</c:v>
                </c:pt>
              </c:numCache>
            </c:numRef>
          </c:xVal>
          <c:yVal>
            <c:numRef>
              <c:f>Summary!$E$15:$E$20</c:f>
              <c:numCache>
                <c:formatCode>General</c:formatCode>
                <c:ptCount val="6"/>
                <c:pt idx="0">
                  <c:v>1.5</c:v>
                </c:pt>
                <c:pt idx="1">
                  <c:v>3.7</c:v>
                </c:pt>
                <c:pt idx="2">
                  <c:v>7.6</c:v>
                </c:pt>
                <c:pt idx="3">
                  <c:v>7.2</c:v>
                </c:pt>
                <c:pt idx="4">
                  <c:v>10.5</c:v>
                </c:pt>
                <c:pt idx="5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8-473A-BAEE-C658C3AA3892}"/>
            </c:ext>
          </c:extLst>
        </c:ser>
        <c:ser>
          <c:idx val="3"/>
          <c:order val="3"/>
          <c:tx>
            <c:strRef>
              <c:f>Summary!$F$2</c:f>
              <c:strCache>
                <c:ptCount val="1"/>
                <c:pt idx="0">
                  <c:v>SWE Obs fed sampler AVG cor (in)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Summary!$A$15:$A$20</c:f>
              <c:numCache>
                <c:formatCode>m/d/yy;@</c:formatCode>
                <c:ptCount val="6"/>
                <c:pt idx="0" formatCode="m/d/yyyy">
                  <c:v>43083</c:v>
                </c:pt>
                <c:pt idx="1">
                  <c:v>43111</c:v>
                </c:pt>
                <c:pt idx="2">
                  <c:v>43132</c:v>
                </c:pt>
                <c:pt idx="3">
                  <c:v>43152</c:v>
                </c:pt>
                <c:pt idx="4" formatCode="m/d/yyyy">
                  <c:v>43167</c:v>
                </c:pt>
                <c:pt idx="5" formatCode="m/d/yyyy">
                  <c:v>43203</c:v>
                </c:pt>
              </c:numCache>
            </c:numRef>
          </c:xVal>
          <c:yVal>
            <c:numRef>
              <c:f>Summary!$F$15:$F$20</c:f>
              <c:numCache>
                <c:formatCode>0.0</c:formatCode>
                <c:ptCount val="6"/>
                <c:pt idx="0">
                  <c:v>1.3888888888888888</c:v>
                </c:pt>
                <c:pt idx="1">
                  <c:v>3.425925925925926</c:v>
                </c:pt>
                <c:pt idx="2">
                  <c:v>7.0370370370370363</c:v>
                </c:pt>
                <c:pt idx="3">
                  <c:v>6.6666666666666661</c:v>
                </c:pt>
                <c:pt idx="4">
                  <c:v>9.7222222222222214</c:v>
                </c:pt>
                <c:pt idx="5">
                  <c:v>7.9629629629629619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F8-473A-BAEE-C658C3AA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5960"/>
        <c:axId val="139796296"/>
      </c:scatterChart>
      <c:valAx>
        <c:axId val="37489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6296"/>
        <c:crosses val="autoZero"/>
        <c:crossBetween val="midCat"/>
      </c:valAx>
      <c:valAx>
        <c:axId val="1397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516548236348507E-2"/>
          <c:y val="7.7820031018849892E-2"/>
          <c:w val="0.51165418347096858"/>
          <c:h val="0.25379145788594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'041318'!$C$1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'041318'!$F$4:$F$15</c:f>
              <c:numCache>
                <c:formatCode>General</c:formatCode>
                <c:ptCount val="12"/>
                <c:pt idx="0">
                  <c:v>26</c:v>
                </c:pt>
                <c:pt idx="1">
                  <c:v>26.5</c:v>
                </c:pt>
                <c:pt idx="2">
                  <c:v>24</c:v>
                </c:pt>
                <c:pt idx="3">
                  <c:v>25.5</c:v>
                </c:pt>
                <c:pt idx="4">
                  <c:v>21</c:v>
                </c:pt>
                <c:pt idx="5">
                  <c:v>21.5</c:v>
                </c:pt>
                <c:pt idx="6">
                  <c:v>32</c:v>
                </c:pt>
                <c:pt idx="7">
                  <c:v>30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B-46C7-B8FA-61C2B9AF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08760"/>
        <c:axId val="436609152"/>
      </c:barChart>
      <c:catAx>
        <c:axId val="43660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09152"/>
        <c:crosses val="autoZero"/>
        <c:auto val="1"/>
        <c:lblAlgn val="ctr"/>
        <c:lblOffset val="100"/>
        <c:noMultiLvlLbl val="0"/>
      </c:catAx>
      <c:valAx>
        <c:axId val="436609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0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'041318'!$I$1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'041318'!$I$4:$I$15</c:f>
              <c:numCache>
                <c:formatCode>General</c:formatCode>
                <c:ptCount val="12"/>
                <c:pt idx="0">
                  <c:v>8.5</c:v>
                </c:pt>
                <c:pt idx="1">
                  <c:v>8</c:v>
                </c:pt>
                <c:pt idx="2">
                  <c:v>8.5</c:v>
                </c:pt>
                <c:pt idx="3">
                  <c:v>8</c:v>
                </c:pt>
                <c:pt idx="4">
                  <c:v>8.5</c:v>
                </c:pt>
                <c:pt idx="5">
                  <c:v>7.5</c:v>
                </c:pt>
                <c:pt idx="6">
                  <c:v>9.5</c:v>
                </c:pt>
                <c:pt idx="7">
                  <c:v>9.5</c:v>
                </c:pt>
                <c:pt idx="8">
                  <c:v>9</c:v>
                </c:pt>
                <c:pt idx="9">
                  <c:v>8</c:v>
                </c:pt>
                <c:pt idx="10">
                  <c:v>8.5</c:v>
                </c:pt>
                <c:pt idx="11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9-4B26-B8BF-F3F21998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09936"/>
        <c:axId val="436610328"/>
      </c:barChart>
      <c:catAx>
        <c:axId val="43660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0328"/>
        <c:crosses val="autoZero"/>
        <c:auto val="1"/>
        <c:lblAlgn val="ctr"/>
        <c:lblOffset val="100"/>
        <c:noMultiLvlLbl val="0"/>
      </c:catAx>
      <c:valAx>
        <c:axId val="436610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'121118'!$C$1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'121118'!$F$4:$F$15</c:f>
              <c:numCache>
                <c:formatCode>General</c:formatCode>
                <c:ptCount val="12"/>
                <c:pt idx="0">
                  <c:v>17.5</c:v>
                </c:pt>
                <c:pt idx="1">
                  <c:v>15.5</c:v>
                </c:pt>
                <c:pt idx="2">
                  <c:v>17</c:v>
                </c:pt>
                <c:pt idx="3">
                  <c:v>16.5</c:v>
                </c:pt>
                <c:pt idx="4">
                  <c:v>16</c:v>
                </c:pt>
                <c:pt idx="5">
                  <c:v>16</c:v>
                </c:pt>
                <c:pt idx="6">
                  <c:v>16.5</c:v>
                </c:pt>
                <c:pt idx="7">
                  <c:v>15.5</c:v>
                </c:pt>
                <c:pt idx="8">
                  <c:v>16.5</c:v>
                </c:pt>
                <c:pt idx="9">
                  <c:v>16.5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8-4D96-ACF6-A8E5D333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11112"/>
        <c:axId val="436611504"/>
      </c:barChart>
      <c:catAx>
        <c:axId val="43661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1504"/>
        <c:crosses val="autoZero"/>
        <c:auto val="1"/>
        <c:lblAlgn val="ctr"/>
        <c:lblOffset val="100"/>
        <c:noMultiLvlLbl val="0"/>
      </c:catAx>
      <c:valAx>
        <c:axId val="436611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'121118'!$I$1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'121118'!$I$4:$I$15</c:f>
              <c:numCache>
                <c:formatCode>General</c:formatCode>
                <c:ptCount val="12"/>
                <c:pt idx="0">
                  <c:v>3.5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3.5</c:v>
                </c:pt>
                <c:pt idx="8">
                  <c:v>4</c:v>
                </c:pt>
                <c:pt idx="9">
                  <c:v>3.5</c:v>
                </c:pt>
                <c:pt idx="10">
                  <c:v>4</c:v>
                </c:pt>
                <c:pt idx="1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9-4DAB-8971-10EA4D73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168144"/>
        <c:axId val="438168536"/>
      </c:barChart>
      <c:catAx>
        <c:axId val="43816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68536"/>
        <c:crosses val="autoZero"/>
        <c:auto val="1"/>
        <c:lblAlgn val="ctr"/>
        <c:lblOffset val="100"/>
        <c:noMultiLvlLbl val="0"/>
      </c:catAx>
      <c:valAx>
        <c:axId val="438168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'12319'!$C$1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'12319'!$F$4:$F$15</c:f>
              <c:numCache>
                <c:formatCode>General</c:formatCode>
                <c:ptCount val="12"/>
                <c:pt idx="0">
                  <c:v>33.5</c:v>
                </c:pt>
                <c:pt idx="1">
                  <c:v>33</c:v>
                </c:pt>
                <c:pt idx="2">
                  <c:v>34</c:v>
                </c:pt>
                <c:pt idx="3">
                  <c:v>32.5</c:v>
                </c:pt>
                <c:pt idx="4">
                  <c:v>33</c:v>
                </c:pt>
                <c:pt idx="5">
                  <c:v>31</c:v>
                </c:pt>
                <c:pt idx="6">
                  <c:v>33.5</c:v>
                </c:pt>
                <c:pt idx="7">
                  <c:v>32.5</c:v>
                </c:pt>
                <c:pt idx="8">
                  <c:v>34</c:v>
                </c:pt>
                <c:pt idx="9">
                  <c:v>34</c:v>
                </c:pt>
                <c:pt idx="10">
                  <c:v>32.5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B6A-B300-43D82EFA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169320"/>
        <c:axId val="438169712"/>
      </c:barChart>
      <c:catAx>
        <c:axId val="43816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69712"/>
        <c:crosses val="autoZero"/>
        <c:auto val="1"/>
        <c:lblAlgn val="ctr"/>
        <c:lblOffset val="100"/>
        <c:noMultiLvlLbl val="0"/>
      </c:catAx>
      <c:valAx>
        <c:axId val="43816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6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'12319'!$I$1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'12319'!$I$4:$I$15</c:f>
              <c:numCache>
                <c:formatCode>General</c:formatCode>
                <c:ptCount val="12"/>
                <c:pt idx="0">
                  <c:v>10</c:v>
                </c:pt>
                <c:pt idx="1">
                  <c:v>10.5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9.5</c:v>
                </c:pt>
                <c:pt idx="6">
                  <c:v>10</c:v>
                </c:pt>
                <c:pt idx="7">
                  <c:v>9.5</c:v>
                </c:pt>
                <c:pt idx="8">
                  <c:v>10</c:v>
                </c:pt>
                <c:pt idx="9">
                  <c:v>10</c:v>
                </c:pt>
                <c:pt idx="10">
                  <c:v>9.5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B-4080-9360-BD568FAD7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170496"/>
        <c:axId val="438170888"/>
      </c:barChart>
      <c:catAx>
        <c:axId val="43817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70888"/>
        <c:crosses val="autoZero"/>
        <c:auto val="1"/>
        <c:lblAlgn val="ctr"/>
        <c:lblOffset val="100"/>
        <c:noMultiLvlLbl val="0"/>
      </c:catAx>
      <c:valAx>
        <c:axId val="438170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'21519'!$C$1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'21519'!$F$4:$F$15</c:f>
              <c:numCache>
                <c:formatCode>General</c:formatCode>
                <c:ptCount val="12"/>
                <c:pt idx="0">
                  <c:v>69</c:v>
                </c:pt>
                <c:pt idx="1">
                  <c:v>67.5</c:v>
                </c:pt>
                <c:pt idx="2">
                  <c:v>67.5</c:v>
                </c:pt>
                <c:pt idx="3">
                  <c:v>68</c:v>
                </c:pt>
                <c:pt idx="4">
                  <c:v>67.5</c:v>
                </c:pt>
                <c:pt idx="5">
                  <c:v>68</c:v>
                </c:pt>
                <c:pt idx="6">
                  <c:v>66</c:v>
                </c:pt>
                <c:pt idx="7">
                  <c:v>68</c:v>
                </c:pt>
                <c:pt idx="8">
                  <c:v>68.5</c:v>
                </c:pt>
                <c:pt idx="9">
                  <c:v>70</c:v>
                </c:pt>
                <c:pt idx="10">
                  <c:v>68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9-4920-B54A-3258D884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93960"/>
        <c:axId val="436694352"/>
      </c:barChart>
      <c:catAx>
        <c:axId val="43669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352"/>
        <c:crosses val="autoZero"/>
        <c:auto val="1"/>
        <c:lblAlgn val="ctr"/>
        <c:lblOffset val="100"/>
        <c:noMultiLvlLbl val="0"/>
      </c:catAx>
      <c:valAx>
        <c:axId val="436694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'21519'!$I$1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'21519'!$I$4:$I$15</c:f>
              <c:numCache>
                <c:formatCode>General</c:formatCode>
                <c:ptCount val="12"/>
                <c:pt idx="0">
                  <c:v>17.5</c:v>
                </c:pt>
                <c:pt idx="1">
                  <c:v>17.5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16.5</c:v>
                </c:pt>
                <c:pt idx="8">
                  <c:v>17.5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C-492E-9FDA-517DD1F4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695136"/>
        <c:axId val="436695528"/>
      </c:barChart>
      <c:catAx>
        <c:axId val="43669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5528"/>
        <c:crosses val="autoZero"/>
        <c:auto val="1"/>
        <c:lblAlgn val="ctr"/>
        <c:lblOffset val="100"/>
        <c:noMultiLvlLbl val="0"/>
      </c:catAx>
      <c:valAx>
        <c:axId val="436695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'22519 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'22519 '!$F$4:$F$15</c:f>
              <c:numCache>
                <c:formatCode>General</c:formatCode>
                <c:ptCount val="12"/>
                <c:pt idx="0">
                  <c:v>84</c:v>
                </c:pt>
                <c:pt idx="1">
                  <c:v>83.5</c:v>
                </c:pt>
                <c:pt idx="2">
                  <c:v>83</c:v>
                </c:pt>
                <c:pt idx="3">
                  <c:v>82</c:v>
                </c:pt>
                <c:pt idx="4">
                  <c:v>84</c:v>
                </c:pt>
                <c:pt idx="5">
                  <c:v>85.5</c:v>
                </c:pt>
                <c:pt idx="6">
                  <c:v>86</c:v>
                </c:pt>
                <c:pt idx="7">
                  <c:v>84.5</c:v>
                </c:pt>
                <c:pt idx="8">
                  <c:v>85</c:v>
                </c:pt>
                <c:pt idx="9">
                  <c:v>86.5</c:v>
                </c:pt>
                <c:pt idx="10">
                  <c:v>82</c:v>
                </c:pt>
                <c:pt idx="1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0-428C-8F52-9931DAE4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96656"/>
        <c:axId val="437097048"/>
      </c:barChart>
      <c:catAx>
        <c:axId val="43709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97048"/>
        <c:crosses val="autoZero"/>
        <c:auto val="1"/>
        <c:lblAlgn val="ctr"/>
        <c:lblOffset val="100"/>
        <c:noMultiLvlLbl val="0"/>
      </c:catAx>
      <c:valAx>
        <c:axId val="437097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'22519 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'22519 '!$I$4:$I$15</c:f>
              <c:numCache>
                <c:formatCode>General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19.5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21.5</c:v>
                </c:pt>
                <c:pt idx="10">
                  <c:v>22</c:v>
                </c:pt>
                <c:pt idx="11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2-4AAD-B866-6A28FDBD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97832"/>
        <c:axId val="437098224"/>
      </c:barChart>
      <c:catAx>
        <c:axId val="43709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98224"/>
        <c:crosses val="autoZero"/>
        <c:auto val="1"/>
        <c:lblAlgn val="ctr"/>
        <c:lblOffset val="100"/>
        <c:noMultiLvlLbl val="0"/>
      </c:catAx>
      <c:valAx>
        <c:axId val="43709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Obs SWE vs Gamma SWE 17/18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38218466963094"/>
          <c:y val="2.4175769321886489E-2"/>
          <c:w val="0.77861381803488761"/>
          <c:h val="0.83960991506156224"/>
        </c:manualLayout>
      </c:layout>
      <c:scatterChart>
        <c:scatterStyle val="lineMarker"/>
        <c:varyColors val="0"/>
        <c:ser>
          <c:idx val="1"/>
          <c:order val="0"/>
          <c:tx>
            <c:v>Tl vs Fed cor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Summary!$F$15:$F$20</c:f>
              <c:numCache>
                <c:formatCode>0.0</c:formatCode>
                <c:ptCount val="6"/>
                <c:pt idx="0">
                  <c:v>1.3888888888888888</c:v>
                </c:pt>
                <c:pt idx="1">
                  <c:v>3.425925925925926</c:v>
                </c:pt>
                <c:pt idx="2">
                  <c:v>7.0370370370370363</c:v>
                </c:pt>
                <c:pt idx="3">
                  <c:v>6.6666666666666661</c:v>
                </c:pt>
                <c:pt idx="4">
                  <c:v>9.7222222222222214</c:v>
                </c:pt>
                <c:pt idx="5">
                  <c:v>7.9629629629629619</c:v>
                </c:pt>
              </c:numCache>
            </c:numRef>
          </c:xVal>
          <c:yVal>
            <c:numRef>
              <c:f>Summary!$B$15:$B$20</c:f>
              <c:numCache>
                <c:formatCode>General</c:formatCode>
                <c:ptCount val="6"/>
                <c:pt idx="0">
                  <c:v>1.34</c:v>
                </c:pt>
                <c:pt idx="1">
                  <c:v>3.31</c:v>
                </c:pt>
                <c:pt idx="2">
                  <c:v>6.73</c:v>
                </c:pt>
                <c:pt idx="3">
                  <c:v>6.97</c:v>
                </c:pt>
                <c:pt idx="4" formatCode="0.00">
                  <c:v>9.98</c:v>
                </c:pt>
                <c:pt idx="5">
                  <c:v>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6-4326-ADBC-A0D279C4407F}"/>
            </c:ext>
          </c:extLst>
        </c:ser>
        <c:ser>
          <c:idx val="2"/>
          <c:order val="1"/>
          <c:tx>
            <c:v>K vs Fed cor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Summary!$F$15:$F$20</c:f>
              <c:numCache>
                <c:formatCode>0.0</c:formatCode>
                <c:ptCount val="6"/>
                <c:pt idx="0">
                  <c:v>1.3888888888888888</c:v>
                </c:pt>
                <c:pt idx="1">
                  <c:v>3.425925925925926</c:v>
                </c:pt>
                <c:pt idx="2">
                  <c:v>7.0370370370370363</c:v>
                </c:pt>
                <c:pt idx="3">
                  <c:v>6.6666666666666661</c:v>
                </c:pt>
                <c:pt idx="4">
                  <c:v>9.7222222222222214</c:v>
                </c:pt>
                <c:pt idx="5">
                  <c:v>7.9629629629629619</c:v>
                </c:pt>
              </c:numCache>
            </c:numRef>
          </c:xVal>
          <c:yVal>
            <c:numRef>
              <c:f>Summary!$C$15:$C$20</c:f>
              <c:numCache>
                <c:formatCode>General</c:formatCode>
                <c:ptCount val="6"/>
                <c:pt idx="0">
                  <c:v>1.42</c:v>
                </c:pt>
                <c:pt idx="1">
                  <c:v>3.54</c:v>
                </c:pt>
                <c:pt idx="2">
                  <c:v>7.05</c:v>
                </c:pt>
                <c:pt idx="3">
                  <c:v>7.28</c:v>
                </c:pt>
                <c:pt idx="4" formatCode="0.00">
                  <c:v>10.26</c:v>
                </c:pt>
                <c:pt idx="5">
                  <c:v>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6-4326-ADBC-A0D279C4407F}"/>
            </c:ext>
          </c:extLst>
        </c:ser>
        <c:ser>
          <c:idx val="3"/>
          <c:order val="2"/>
          <c:tx>
            <c:v>1 to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Summary!$Z$9:$Z$10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Summary!$AA$9:$AA$10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06-4326-ADBC-A0D279C4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97472"/>
        <c:axId val="139797864"/>
      </c:scatterChart>
      <c:valAx>
        <c:axId val="1397974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 Sampler Corrected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7864"/>
        <c:crosses val="autoZero"/>
        <c:crossBetween val="midCat"/>
      </c:valAx>
      <c:valAx>
        <c:axId val="13979786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SWE sensor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0105167904360559"/>
          <c:y val="0.54892936230998213"/>
          <c:w val="0.45380513879664414"/>
          <c:h val="0.28945802303706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'032919'!$C$1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'032919'!$F$4:$F$15</c:f>
              <c:numCache>
                <c:formatCode>General</c:formatCode>
                <c:ptCount val="12"/>
                <c:pt idx="0">
                  <c:v>66</c:v>
                </c:pt>
                <c:pt idx="1">
                  <c:v>67</c:v>
                </c:pt>
                <c:pt idx="2">
                  <c:v>64</c:v>
                </c:pt>
                <c:pt idx="3">
                  <c:v>65</c:v>
                </c:pt>
                <c:pt idx="4">
                  <c:v>65.5</c:v>
                </c:pt>
                <c:pt idx="5">
                  <c:v>66</c:v>
                </c:pt>
                <c:pt idx="6">
                  <c:v>67.5</c:v>
                </c:pt>
                <c:pt idx="7">
                  <c:v>68.5</c:v>
                </c:pt>
                <c:pt idx="8">
                  <c:v>67.5</c:v>
                </c:pt>
                <c:pt idx="9">
                  <c:v>70</c:v>
                </c:pt>
                <c:pt idx="10">
                  <c:v>67.5</c:v>
                </c:pt>
                <c:pt idx="11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3-4D79-A5C0-1FE8ACDB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6776"/>
        <c:axId val="207907168"/>
      </c:barChart>
      <c:catAx>
        <c:axId val="20790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168"/>
        <c:crosses val="autoZero"/>
        <c:auto val="1"/>
        <c:lblAlgn val="ctr"/>
        <c:lblOffset val="100"/>
        <c:noMultiLvlLbl val="0"/>
      </c:catAx>
      <c:valAx>
        <c:axId val="20790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'032919'!$I$1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'032919'!$I$4:$I$15</c:f>
              <c:numCache>
                <c:formatCode>General</c:formatCode>
                <c:ptCount val="12"/>
                <c:pt idx="0">
                  <c:v>23.5</c:v>
                </c:pt>
                <c:pt idx="1">
                  <c:v>26.5</c:v>
                </c:pt>
                <c:pt idx="2">
                  <c:v>24</c:v>
                </c:pt>
                <c:pt idx="3">
                  <c:v>24</c:v>
                </c:pt>
                <c:pt idx="4">
                  <c:v>21.5</c:v>
                </c:pt>
                <c:pt idx="5">
                  <c:v>24</c:v>
                </c:pt>
                <c:pt idx="6">
                  <c:v>24.5</c:v>
                </c:pt>
                <c:pt idx="7">
                  <c:v>25</c:v>
                </c:pt>
                <c:pt idx="8">
                  <c:v>27</c:v>
                </c:pt>
                <c:pt idx="9">
                  <c:v>26</c:v>
                </c:pt>
                <c:pt idx="10">
                  <c:v>22.5</c:v>
                </c:pt>
                <c:pt idx="1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C-4F98-95B5-90E9871C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7952"/>
        <c:axId val="207908344"/>
      </c:barChart>
      <c:catAx>
        <c:axId val="2079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8344"/>
        <c:crosses val="autoZero"/>
        <c:auto val="1"/>
        <c:lblAlgn val="ctr"/>
        <c:lblOffset val="100"/>
        <c:noMultiLvlLbl val="0"/>
      </c:catAx>
      <c:valAx>
        <c:axId val="20790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'01092020'!$C$1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'01092020'!$F$4:$F$15</c:f>
              <c:numCache>
                <c:formatCode>General</c:formatCode>
                <c:ptCount val="12"/>
                <c:pt idx="0">
                  <c:v>27.5</c:v>
                </c:pt>
                <c:pt idx="1">
                  <c:v>27.5</c:v>
                </c:pt>
                <c:pt idx="2">
                  <c:v>31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1-447D-9EFA-538567D81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6776"/>
        <c:axId val="207907168"/>
      </c:barChart>
      <c:catAx>
        <c:axId val="20790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168"/>
        <c:crosses val="autoZero"/>
        <c:auto val="1"/>
        <c:lblAlgn val="ctr"/>
        <c:lblOffset val="100"/>
        <c:noMultiLvlLbl val="0"/>
      </c:catAx>
      <c:valAx>
        <c:axId val="20790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'01092020'!$I$1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'01092020'!$I$4:$I$15</c:f>
              <c:numCache>
                <c:formatCode>General</c:formatCode>
                <c:ptCount val="12"/>
                <c:pt idx="0">
                  <c:v>6.5</c:v>
                </c:pt>
                <c:pt idx="1">
                  <c:v>6.5</c:v>
                </c:pt>
                <c:pt idx="2">
                  <c:v>7.5</c:v>
                </c:pt>
                <c:pt idx="3">
                  <c:v>6.5</c:v>
                </c:pt>
                <c:pt idx="4">
                  <c:v>7.5</c:v>
                </c:pt>
                <c:pt idx="5">
                  <c:v>7</c:v>
                </c:pt>
                <c:pt idx="6">
                  <c:v>6.5</c:v>
                </c:pt>
                <c:pt idx="7">
                  <c:v>6.5</c:v>
                </c:pt>
                <c:pt idx="8">
                  <c:v>7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F-4A11-B9F8-79AC5302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7952"/>
        <c:axId val="207908344"/>
      </c:barChart>
      <c:catAx>
        <c:axId val="2079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8344"/>
        <c:crosses val="autoZero"/>
        <c:auto val="1"/>
        <c:lblAlgn val="ctr"/>
        <c:lblOffset val="100"/>
        <c:noMultiLvlLbl val="0"/>
      </c:catAx>
      <c:valAx>
        <c:axId val="20790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'01302020 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'01302020 '!$F$4:$F$15</c:f>
              <c:numCache>
                <c:formatCode>General</c:formatCode>
                <c:ptCount val="12"/>
                <c:pt idx="0">
                  <c:v>47.5</c:v>
                </c:pt>
                <c:pt idx="1">
                  <c:v>43.5</c:v>
                </c:pt>
                <c:pt idx="2">
                  <c:v>45.5</c:v>
                </c:pt>
                <c:pt idx="3">
                  <c:v>42.5</c:v>
                </c:pt>
                <c:pt idx="4">
                  <c:v>44.5</c:v>
                </c:pt>
                <c:pt idx="5">
                  <c:v>44.5</c:v>
                </c:pt>
                <c:pt idx="6">
                  <c:v>43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43</c:v>
                </c:pt>
                <c:pt idx="11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4-4740-8F03-D546B763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6776"/>
        <c:axId val="207907168"/>
      </c:barChart>
      <c:catAx>
        <c:axId val="20790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168"/>
        <c:crosses val="autoZero"/>
        <c:auto val="1"/>
        <c:lblAlgn val="ctr"/>
        <c:lblOffset val="100"/>
        <c:noMultiLvlLbl val="0"/>
      </c:catAx>
      <c:valAx>
        <c:axId val="20790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'01302020 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'01302020 '!$I$4:$I$15</c:f>
              <c:numCache>
                <c:formatCode>General</c:formatCode>
                <c:ptCount val="12"/>
                <c:pt idx="0">
                  <c:v>12.5</c:v>
                </c:pt>
                <c:pt idx="1">
                  <c:v>12</c:v>
                </c:pt>
                <c:pt idx="2">
                  <c:v>13.5</c:v>
                </c:pt>
                <c:pt idx="3">
                  <c:v>11.5</c:v>
                </c:pt>
                <c:pt idx="4">
                  <c:v>13</c:v>
                </c:pt>
                <c:pt idx="5">
                  <c:v>12</c:v>
                </c:pt>
                <c:pt idx="6">
                  <c:v>11.5</c:v>
                </c:pt>
                <c:pt idx="7">
                  <c:v>12</c:v>
                </c:pt>
                <c:pt idx="8">
                  <c:v>11.5</c:v>
                </c:pt>
                <c:pt idx="9">
                  <c:v>12</c:v>
                </c:pt>
                <c:pt idx="10">
                  <c:v>11.5</c:v>
                </c:pt>
                <c:pt idx="11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C-43C0-8D29-FD0A635E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7952"/>
        <c:axId val="207908344"/>
      </c:barChart>
      <c:catAx>
        <c:axId val="2079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8344"/>
        <c:crosses val="autoZero"/>
        <c:auto val="1"/>
        <c:lblAlgn val="ctr"/>
        <c:lblOffset val="100"/>
        <c:noMultiLvlLbl val="0"/>
      </c:catAx>
      <c:valAx>
        <c:axId val="20790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'022720'!$C$1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'022720'!$F$4:$F$15</c:f>
              <c:numCache>
                <c:formatCode>General</c:formatCode>
                <c:ptCount val="12"/>
                <c:pt idx="0">
                  <c:v>48.5</c:v>
                </c:pt>
                <c:pt idx="1">
                  <c:v>47</c:v>
                </c:pt>
                <c:pt idx="2">
                  <c:v>47</c:v>
                </c:pt>
                <c:pt idx="3">
                  <c:v>45</c:v>
                </c:pt>
                <c:pt idx="4">
                  <c:v>47.5</c:v>
                </c:pt>
                <c:pt idx="5">
                  <c:v>47</c:v>
                </c:pt>
                <c:pt idx="6">
                  <c:v>49</c:v>
                </c:pt>
                <c:pt idx="7">
                  <c:v>48.5</c:v>
                </c:pt>
                <c:pt idx="8">
                  <c:v>50</c:v>
                </c:pt>
                <c:pt idx="9">
                  <c:v>51</c:v>
                </c:pt>
                <c:pt idx="10">
                  <c:v>47.5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4-424F-A6DC-677AF7B22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6776"/>
        <c:axId val="207907168"/>
      </c:barChart>
      <c:catAx>
        <c:axId val="20790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168"/>
        <c:crosses val="autoZero"/>
        <c:auto val="1"/>
        <c:lblAlgn val="ctr"/>
        <c:lblOffset val="100"/>
        <c:noMultiLvlLbl val="0"/>
      </c:catAx>
      <c:valAx>
        <c:axId val="20790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'022720'!$I$1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'022720'!$I$4:$I$15</c:f>
              <c:numCache>
                <c:formatCode>General</c:formatCode>
                <c:ptCount val="12"/>
                <c:pt idx="0">
                  <c:v>16</c:v>
                </c:pt>
                <c:pt idx="1">
                  <c:v>15.5</c:v>
                </c:pt>
                <c:pt idx="2">
                  <c:v>14</c:v>
                </c:pt>
                <c:pt idx="3">
                  <c:v>14.5</c:v>
                </c:pt>
                <c:pt idx="4">
                  <c:v>14.5</c:v>
                </c:pt>
                <c:pt idx="5">
                  <c:v>15.5</c:v>
                </c:pt>
                <c:pt idx="6">
                  <c:v>14.5</c:v>
                </c:pt>
                <c:pt idx="7">
                  <c:v>17</c:v>
                </c:pt>
                <c:pt idx="8">
                  <c:v>16.5</c:v>
                </c:pt>
                <c:pt idx="9">
                  <c:v>16</c:v>
                </c:pt>
                <c:pt idx="10">
                  <c:v>15</c:v>
                </c:pt>
                <c:pt idx="11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0-448B-9A10-A48BBD35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7952"/>
        <c:axId val="207908344"/>
      </c:barChart>
      <c:catAx>
        <c:axId val="2079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8344"/>
        <c:crosses val="autoZero"/>
        <c:auto val="1"/>
        <c:lblAlgn val="ctr"/>
        <c:lblOffset val="100"/>
        <c:noMultiLvlLbl val="0"/>
      </c:catAx>
      <c:valAx>
        <c:axId val="20790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'120420'!$C$1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'120420'!$F$4:$F$15</c:f>
              <c:numCache>
                <c:formatCode>General</c:formatCode>
                <c:ptCount val="12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16.5</c:v>
                </c:pt>
                <c:pt idx="4">
                  <c:v>18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21.5</c:v>
                </c:pt>
                <c:pt idx="9">
                  <c:v>21.5</c:v>
                </c:pt>
                <c:pt idx="10">
                  <c:v>22.5</c:v>
                </c:pt>
                <c:pt idx="11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B-4722-B392-FBBAD68C1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6776"/>
        <c:axId val="207907168"/>
      </c:barChart>
      <c:catAx>
        <c:axId val="20790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168"/>
        <c:crosses val="autoZero"/>
        <c:auto val="1"/>
        <c:lblAlgn val="ctr"/>
        <c:lblOffset val="100"/>
        <c:noMultiLvlLbl val="0"/>
      </c:catAx>
      <c:valAx>
        <c:axId val="20790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'120420'!$I$1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'120420'!$I$4:$I$15</c:f>
              <c:numCache>
                <c:formatCode>General</c:formatCode>
                <c:ptCount val="12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6.5</c:v>
                </c:pt>
                <c:pt idx="9">
                  <c:v>6.5</c:v>
                </c:pt>
                <c:pt idx="10">
                  <c:v>6</c:v>
                </c:pt>
                <c:pt idx="1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0-47DA-BFF6-A44D4485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7952"/>
        <c:axId val="207908344"/>
      </c:barChart>
      <c:catAx>
        <c:axId val="2079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8344"/>
        <c:crosses val="autoZero"/>
        <c:auto val="1"/>
        <c:lblAlgn val="ctr"/>
        <c:lblOffset val="100"/>
        <c:noMultiLvlLbl val="0"/>
      </c:catAx>
      <c:valAx>
        <c:axId val="20790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 TL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5870516185476"/>
          <c:y val="5.0925925925925923E-2"/>
          <c:w val="0.5355997375328084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SWE CS725 K (in)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Summary!$B$3:$B$37</c:f>
              <c:numCache>
                <c:formatCode>0.0</c:formatCode>
                <c:ptCount val="35"/>
                <c:pt idx="0">
                  <c:v>0.83</c:v>
                </c:pt>
                <c:pt idx="1">
                  <c:v>7.99</c:v>
                </c:pt>
                <c:pt idx="2">
                  <c:v>8.8188976377952759</c:v>
                </c:pt>
                <c:pt idx="3">
                  <c:v>14.84251968503937</c:v>
                </c:pt>
                <c:pt idx="5">
                  <c:v>0.86614173228346458</c:v>
                </c:pt>
                <c:pt idx="6">
                  <c:v>4.8031496062992129</c:v>
                </c:pt>
                <c:pt idx="7">
                  <c:v>12.165354330708663</c:v>
                </c:pt>
                <c:pt idx="8">
                  <c:v>13.54</c:v>
                </c:pt>
                <c:pt idx="9">
                  <c:v>15.511811023622048</c:v>
                </c:pt>
                <c:pt idx="10">
                  <c:v>7.0866141732283472</c:v>
                </c:pt>
                <c:pt idx="12" formatCode="General">
                  <c:v>1.34</c:v>
                </c:pt>
                <c:pt idx="13" formatCode="General">
                  <c:v>3.31</c:v>
                </c:pt>
                <c:pt idx="14" formatCode="General">
                  <c:v>6.73</c:v>
                </c:pt>
                <c:pt idx="15" formatCode="General">
                  <c:v>6.97</c:v>
                </c:pt>
                <c:pt idx="16" formatCode="0.00">
                  <c:v>9.98</c:v>
                </c:pt>
                <c:pt idx="17" formatCode="General">
                  <c:v>7.95</c:v>
                </c:pt>
                <c:pt idx="19">
                  <c:v>3.4645669291338583</c:v>
                </c:pt>
                <c:pt idx="20">
                  <c:v>8.5826771653543314</c:v>
                </c:pt>
                <c:pt idx="21" formatCode="General">
                  <c:v>14.13</c:v>
                </c:pt>
                <c:pt idx="24" formatCode="General">
                  <c:v>5.7869999999999999</c:v>
                </c:pt>
                <c:pt idx="25" formatCode="General">
                  <c:v>10.9</c:v>
                </c:pt>
                <c:pt idx="26" formatCode="General">
                  <c:v>13.4</c:v>
                </c:pt>
                <c:pt idx="30" formatCode="General">
                  <c:v>4.8</c:v>
                </c:pt>
                <c:pt idx="31" formatCode="General">
                  <c:v>9.3000000000000007</c:v>
                </c:pt>
                <c:pt idx="32" formatCode="General">
                  <c:v>14.1</c:v>
                </c:pt>
                <c:pt idx="33" formatCode="General">
                  <c:v>13.5</c:v>
                </c:pt>
                <c:pt idx="34" formatCode="General">
                  <c:v>12.95</c:v>
                </c:pt>
              </c:numCache>
            </c:numRef>
          </c:xVal>
          <c:yVal>
            <c:numRef>
              <c:f>Summary!$C$3:$C$37</c:f>
              <c:numCache>
                <c:formatCode>0.0</c:formatCode>
                <c:ptCount val="35"/>
                <c:pt idx="0">
                  <c:v>0.83</c:v>
                </c:pt>
                <c:pt idx="1">
                  <c:v>8.35</c:v>
                </c:pt>
                <c:pt idx="2">
                  <c:v>9.4094488188976371</c:v>
                </c:pt>
                <c:pt idx="3">
                  <c:v>14.921259842519685</c:v>
                </c:pt>
                <c:pt idx="5">
                  <c:v>1.0236220472440944</c:v>
                </c:pt>
                <c:pt idx="6">
                  <c:v>5.1181102362204731</c:v>
                </c:pt>
                <c:pt idx="7">
                  <c:v>12.874015748031496</c:v>
                </c:pt>
                <c:pt idx="8">
                  <c:v>15.16</c:v>
                </c:pt>
                <c:pt idx="9">
                  <c:v>16.8503937007874</c:v>
                </c:pt>
                <c:pt idx="10">
                  <c:v>7.2834645669291342</c:v>
                </c:pt>
                <c:pt idx="12" formatCode="General">
                  <c:v>1.42</c:v>
                </c:pt>
                <c:pt idx="13" formatCode="General">
                  <c:v>3.54</c:v>
                </c:pt>
                <c:pt idx="14" formatCode="General">
                  <c:v>7.05</c:v>
                </c:pt>
                <c:pt idx="15" formatCode="General">
                  <c:v>7.28</c:v>
                </c:pt>
                <c:pt idx="16" formatCode="0.00">
                  <c:v>10.26</c:v>
                </c:pt>
                <c:pt idx="17" formatCode="General">
                  <c:v>8.86</c:v>
                </c:pt>
                <c:pt idx="19">
                  <c:v>3.8188976377952755</c:v>
                </c:pt>
                <c:pt idx="20">
                  <c:v>9.0551181102362204</c:v>
                </c:pt>
                <c:pt idx="21" formatCode="General">
                  <c:v>15.35</c:v>
                </c:pt>
                <c:pt idx="24" formatCode="General">
                  <c:v>6.26</c:v>
                </c:pt>
                <c:pt idx="25" formatCode="General">
                  <c:v>11.3</c:v>
                </c:pt>
                <c:pt idx="26" formatCode="General">
                  <c:v>14.3</c:v>
                </c:pt>
                <c:pt idx="30" formatCode="General">
                  <c:v>5.2</c:v>
                </c:pt>
                <c:pt idx="31" formatCode="General">
                  <c:v>10</c:v>
                </c:pt>
                <c:pt idx="32" formatCode="General">
                  <c:v>14.8</c:v>
                </c:pt>
                <c:pt idx="33" formatCode="General">
                  <c:v>15.1</c:v>
                </c:pt>
                <c:pt idx="34" formatCode="General">
                  <c:v>14.29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1-4457-A193-FF0BF571F82D}"/>
            </c:ext>
          </c:extLst>
        </c:ser>
        <c:ser>
          <c:idx val="1"/>
          <c:order val="1"/>
          <c:tx>
            <c:v>One to One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Summary!$Z$9:$Z$10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Summary!$AA$9:$AA$10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1-4457-A193-FF0BF571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63632"/>
        <c:axId val="375364024"/>
      </c:scatterChart>
      <c:valAx>
        <c:axId val="3753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SWE</a:t>
                </a:r>
                <a:r>
                  <a:rPr lang="en-US" baseline="0"/>
                  <a:t> TL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64024"/>
        <c:crosses val="autoZero"/>
        <c:crossBetween val="midCat"/>
      </c:valAx>
      <c:valAx>
        <c:axId val="3753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SWE K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'010721'!$C$1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'010721'!$F$4:$F$15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41.5</c:v>
                </c:pt>
                <c:pt idx="3">
                  <c:v>43</c:v>
                </c:pt>
                <c:pt idx="4">
                  <c:v>42.5</c:v>
                </c:pt>
                <c:pt idx="5">
                  <c:v>42.5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46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7-481E-87D0-AA0D98F9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6776"/>
        <c:axId val="207907168"/>
      </c:barChart>
      <c:catAx>
        <c:axId val="20790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168"/>
        <c:crosses val="autoZero"/>
        <c:auto val="1"/>
        <c:lblAlgn val="ctr"/>
        <c:lblOffset val="100"/>
        <c:noMultiLvlLbl val="0"/>
      </c:catAx>
      <c:valAx>
        <c:axId val="20790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'010721'!$I$1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'010721'!$I$4:$I$15</c:f>
              <c:numCache>
                <c:formatCode>General</c:formatCode>
                <c:ptCount val="12"/>
                <c:pt idx="0">
                  <c:v>11.5</c:v>
                </c:pt>
                <c:pt idx="1">
                  <c:v>11</c:v>
                </c:pt>
                <c:pt idx="2">
                  <c:v>11.5</c:v>
                </c:pt>
                <c:pt idx="3">
                  <c:v>10.5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9.5</c:v>
                </c:pt>
                <c:pt idx="8">
                  <c:v>9.5</c:v>
                </c:pt>
                <c:pt idx="9">
                  <c:v>10</c:v>
                </c:pt>
                <c:pt idx="10">
                  <c:v>9.5</c:v>
                </c:pt>
                <c:pt idx="11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2-4969-8E95-40D7D31D5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7952"/>
        <c:axId val="207908344"/>
      </c:barChart>
      <c:catAx>
        <c:axId val="2079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8344"/>
        <c:crosses val="autoZero"/>
        <c:auto val="1"/>
        <c:lblAlgn val="ctr"/>
        <c:lblOffset val="100"/>
        <c:noMultiLvlLbl val="0"/>
      </c:catAx>
      <c:valAx>
        <c:axId val="20790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'021921'!$C$1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'021921'!$F$4:$F$15</c:f>
              <c:numCache>
                <c:formatCode>General</c:formatCode>
                <c:ptCount val="12"/>
                <c:pt idx="0">
                  <c:v>62.5</c:v>
                </c:pt>
                <c:pt idx="1">
                  <c:v>63</c:v>
                </c:pt>
                <c:pt idx="2">
                  <c:v>58.5</c:v>
                </c:pt>
                <c:pt idx="3">
                  <c:v>60</c:v>
                </c:pt>
                <c:pt idx="4">
                  <c:v>58.5</c:v>
                </c:pt>
                <c:pt idx="5">
                  <c:v>60.5</c:v>
                </c:pt>
                <c:pt idx="6">
                  <c:v>63</c:v>
                </c:pt>
                <c:pt idx="7">
                  <c:v>64.5</c:v>
                </c:pt>
                <c:pt idx="8">
                  <c:v>66.5</c:v>
                </c:pt>
                <c:pt idx="9">
                  <c:v>63</c:v>
                </c:pt>
                <c:pt idx="10">
                  <c:v>65.5</c:v>
                </c:pt>
                <c:pt idx="11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6-4544-A24D-7EB52092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6776"/>
        <c:axId val="207907168"/>
      </c:barChart>
      <c:catAx>
        <c:axId val="20790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168"/>
        <c:crosses val="autoZero"/>
        <c:auto val="1"/>
        <c:lblAlgn val="ctr"/>
        <c:lblOffset val="100"/>
        <c:noMultiLvlLbl val="0"/>
      </c:catAx>
      <c:valAx>
        <c:axId val="20790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'021921'!$I$1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'021921'!$I$4:$I$15</c:f>
              <c:numCache>
                <c:formatCode>General</c:formatCode>
                <c:ptCount val="12"/>
                <c:pt idx="0">
                  <c:v>17.5</c:v>
                </c:pt>
                <c:pt idx="1">
                  <c:v>16.5</c:v>
                </c:pt>
                <c:pt idx="2">
                  <c:v>16.5</c:v>
                </c:pt>
                <c:pt idx="3">
                  <c:v>16</c:v>
                </c:pt>
                <c:pt idx="4">
                  <c:v>12.5</c:v>
                </c:pt>
                <c:pt idx="5">
                  <c:v>14.5</c:v>
                </c:pt>
                <c:pt idx="6">
                  <c:v>15</c:v>
                </c:pt>
                <c:pt idx="7">
                  <c:v>16.5</c:v>
                </c:pt>
                <c:pt idx="8">
                  <c:v>17.5</c:v>
                </c:pt>
                <c:pt idx="9">
                  <c:v>17</c:v>
                </c:pt>
                <c:pt idx="10">
                  <c:v>14.5</c:v>
                </c:pt>
                <c:pt idx="11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C-4EB1-A382-95D72B848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7952"/>
        <c:axId val="207908344"/>
      </c:barChart>
      <c:catAx>
        <c:axId val="2079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8344"/>
        <c:crosses val="autoZero"/>
        <c:auto val="1"/>
        <c:lblAlgn val="ctr"/>
        <c:lblOffset val="100"/>
        <c:noMultiLvlLbl val="0"/>
      </c:catAx>
      <c:valAx>
        <c:axId val="20790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'32321'!$C$1</c:f>
              <c:strCache>
                <c:ptCount val="1"/>
                <c:pt idx="0">
                  <c:v>Snow depth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'32321'!$F$4:$F$15</c:f>
              <c:numCache>
                <c:formatCode>General</c:formatCode>
                <c:ptCount val="12"/>
                <c:pt idx="0">
                  <c:v>55</c:v>
                </c:pt>
                <c:pt idx="1">
                  <c:v>54.5</c:v>
                </c:pt>
                <c:pt idx="2">
                  <c:v>50.5</c:v>
                </c:pt>
                <c:pt idx="3">
                  <c:v>47.5</c:v>
                </c:pt>
                <c:pt idx="4">
                  <c:v>48</c:v>
                </c:pt>
                <c:pt idx="5">
                  <c:v>49.5</c:v>
                </c:pt>
                <c:pt idx="6">
                  <c:v>55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59</c:v>
                </c:pt>
                <c:pt idx="11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4-40EA-93F1-65BF144AB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6776"/>
        <c:axId val="207907168"/>
      </c:barChart>
      <c:catAx>
        <c:axId val="20790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168"/>
        <c:crosses val="autoZero"/>
        <c:auto val="1"/>
        <c:lblAlgn val="ctr"/>
        <c:lblOffset val="100"/>
        <c:noMultiLvlLbl val="0"/>
      </c:catAx>
      <c:valAx>
        <c:axId val="20790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'32321'!$I$1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'32321'!$I$4:$I$15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16.5</c:v>
                </c:pt>
                <c:pt idx="3">
                  <c:v>14.5</c:v>
                </c:pt>
                <c:pt idx="4">
                  <c:v>16</c:v>
                </c:pt>
                <c:pt idx="5">
                  <c:v>16.5</c:v>
                </c:pt>
                <c:pt idx="6">
                  <c:v>17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16.5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DE5-9905-E46E32DB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7952"/>
        <c:axId val="207908344"/>
      </c:barChart>
      <c:catAx>
        <c:axId val="2079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8344"/>
        <c:crosses val="autoZero"/>
        <c:auto val="1"/>
        <c:lblAlgn val="ctr"/>
        <c:lblOffset val="100"/>
        <c:noMultiLvlLbl val="0"/>
      </c:catAx>
      <c:valAx>
        <c:axId val="20790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 Snow Depth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'04042021'!$F$1</c:f>
              <c:strCache>
                <c:ptCount val="1"/>
                <c:pt idx="0">
                  <c:v>corrected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'04042021'!$F$4:$F$15</c:f>
              <c:numCache>
                <c:formatCode>General</c:formatCode>
                <c:ptCount val="12"/>
                <c:pt idx="0">
                  <c:v>45</c:v>
                </c:pt>
                <c:pt idx="1">
                  <c:v>45.5</c:v>
                </c:pt>
                <c:pt idx="2">
                  <c:v>42</c:v>
                </c:pt>
                <c:pt idx="3">
                  <c:v>38</c:v>
                </c:pt>
                <c:pt idx="4">
                  <c:v>39.5</c:v>
                </c:pt>
                <c:pt idx="5">
                  <c:v>38.5</c:v>
                </c:pt>
                <c:pt idx="6">
                  <c:v>43</c:v>
                </c:pt>
                <c:pt idx="7">
                  <c:v>47.5</c:v>
                </c:pt>
                <c:pt idx="8">
                  <c:v>49.5</c:v>
                </c:pt>
                <c:pt idx="9">
                  <c:v>49.5</c:v>
                </c:pt>
                <c:pt idx="10">
                  <c:v>51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6-4EC2-ACE0-91EB74FF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6776"/>
        <c:axId val="207907168"/>
      </c:barChart>
      <c:catAx>
        <c:axId val="20790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168"/>
        <c:crosses val="autoZero"/>
        <c:auto val="1"/>
        <c:lblAlgn val="ctr"/>
        <c:lblOffset val="100"/>
        <c:noMultiLvlLbl val="0"/>
      </c:catAx>
      <c:valAx>
        <c:axId val="20790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'04042021'!$I$1</c:f>
              <c:strCache>
                <c:ptCount val="1"/>
                <c:pt idx="0">
                  <c:v>Net SWE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'04042021'!$I$4:$I$15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15.5</c:v>
                </c:pt>
                <c:pt idx="3">
                  <c:v>14.5</c:v>
                </c:pt>
                <c:pt idx="4">
                  <c:v>12.5</c:v>
                </c:pt>
                <c:pt idx="5">
                  <c:v>14.5</c:v>
                </c:pt>
                <c:pt idx="6">
                  <c:v>17</c:v>
                </c:pt>
                <c:pt idx="7">
                  <c:v>18.5</c:v>
                </c:pt>
                <c:pt idx="8">
                  <c:v>17.5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0-4854-8997-67E5F71A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7952"/>
        <c:axId val="207908344"/>
      </c:barChart>
      <c:catAx>
        <c:axId val="2079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8344"/>
        <c:crosses val="autoZero"/>
        <c:auto val="1"/>
        <c:lblAlgn val="ctr"/>
        <c:lblOffset val="100"/>
        <c:noMultiLvlLbl val="0"/>
      </c:catAx>
      <c:valAx>
        <c:axId val="20790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'04042021'!$J$4:$J$15</c:f>
              <c:numCache>
                <c:formatCode>0%</c:formatCode>
                <c:ptCount val="12"/>
                <c:pt idx="0">
                  <c:v>0.31111111111111112</c:v>
                </c:pt>
                <c:pt idx="1">
                  <c:v>0.32967032967032966</c:v>
                </c:pt>
                <c:pt idx="2">
                  <c:v>0.36904761904761907</c:v>
                </c:pt>
                <c:pt idx="3">
                  <c:v>0.38157894736842107</c:v>
                </c:pt>
                <c:pt idx="4">
                  <c:v>0.31645569620253167</c:v>
                </c:pt>
                <c:pt idx="5">
                  <c:v>0.37662337662337664</c:v>
                </c:pt>
                <c:pt idx="6">
                  <c:v>0.39534883720930231</c:v>
                </c:pt>
                <c:pt idx="7">
                  <c:v>0.38947368421052631</c:v>
                </c:pt>
                <c:pt idx="8">
                  <c:v>0.35353535353535354</c:v>
                </c:pt>
                <c:pt idx="9">
                  <c:v>0.34343434343434343</c:v>
                </c:pt>
                <c:pt idx="10">
                  <c:v>0.29411764705882354</c:v>
                </c:pt>
                <c:pt idx="11">
                  <c:v>0.36170212765957449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8-459E-B614-3961BCEA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524160"/>
        <c:axId val="792541872"/>
      </c:barChart>
      <c:catAx>
        <c:axId val="79252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41872"/>
        <c:crosses val="autoZero"/>
        <c:auto val="1"/>
        <c:lblAlgn val="ctr"/>
        <c:lblOffset val="100"/>
        <c:noMultiLvlLbl val="0"/>
      </c:catAx>
      <c:valAx>
        <c:axId val="7925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2018/19 SWE Calibration</a:t>
            </a:r>
          </a:p>
        </c:rich>
      </c:tx>
      <c:layout>
        <c:manualLayout>
          <c:xMode val="edge"/>
          <c:yMode val="edge"/>
          <c:x val="0.35417154645649229"/>
          <c:y val="2.785515320334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1050864576887"/>
          <c:y val="0.14428030303030306"/>
          <c:w val="0.84444640050075037"/>
          <c:h val="0.77163534955857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SWE CS725 TL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Summary!$A$22:$A$27</c:f>
              <c:numCache>
                <c:formatCode>m/d/yyyy</c:formatCode>
                <c:ptCount val="6"/>
                <c:pt idx="0">
                  <c:v>43445</c:v>
                </c:pt>
                <c:pt idx="1">
                  <c:v>43488</c:v>
                </c:pt>
                <c:pt idx="2">
                  <c:v>43511</c:v>
                </c:pt>
                <c:pt idx="3">
                  <c:v>43521</c:v>
                </c:pt>
                <c:pt idx="5">
                  <c:v>43839</c:v>
                </c:pt>
              </c:numCache>
            </c:numRef>
          </c:xVal>
          <c:yVal>
            <c:numRef>
              <c:f>Summary!$B$22:$B$27</c:f>
              <c:numCache>
                <c:formatCode>0.0</c:formatCode>
                <c:ptCount val="6"/>
                <c:pt idx="0">
                  <c:v>3.4645669291338583</c:v>
                </c:pt>
                <c:pt idx="1">
                  <c:v>8.5826771653543314</c:v>
                </c:pt>
                <c:pt idx="2" formatCode="General">
                  <c:v>14.13</c:v>
                </c:pt>
                <c:pt idx="5" formatCode="General">
                  <c:v>5.7869999999999999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6-4277-9F74-23CF5BCCE51D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SWE CS725 K (in)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Summary!$A$22:$A$27</c:f>
              <c:numCache>
                <c:formatCode>m/d/yyyy</c:formatCode>
                <c:ptCount val="6"/>
                <c:pt idx="0">
                  <c:v>43445</c:v>
                </c:pt>
                <c:pt idx="1">
                  <c:v>43488</c:v>
                </c:pt>
                <c:pt idx="2">
                  <c:v>43511</c:v>
                </c:pt>
                <c:pt idx="3">
                  <c:v>43521</c:v>
                </c:pt>
                <c:pt idx="5">
                  <c:v>43839</c:v>
                </c:pt>
              </c:numCache>
            </c:numRef>
          </c:xVal>
          <c:yVal>
            <c:numRef>
              <c:f>Summary!$C$22:$C$27</c:f>
              <c:numCache>
                <c:formatCode>0.0</c:formatCode>
                <c:ptCount val="6"/>
                <c:pt idx="0">
                  <c:v>3.8188976377952755</c:v>
                </c:pt>
                <c:pt idx="1">
                  <c:v>9.0551181102362204</c:v>
                </c:pt>
                <c:pt idx="2" formatCode="General">
                  <c:v>15.35</c:v>
                </c:pt>
                <c:pt idx="5" formatCode="General">
                  <c:v>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6-4277-9F74-23CF5BCCE51D}"/>
            </c:ext>
          </c:extLst>
        </c:ser>
        <c:ser>
          <c:idx val="2"/>
          <c:order val="2"/>
          <c:tx>
            <c:strRef>
              <c:f>Summary!$E$2</c:f>
              <c:strCache>
                <c:ptCount val="1"/>
                <c:pt idx="0">
                  <c:v>SWE Obs fed sampler AVG (in)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Summary!$A$22:$A$27</c:f>
              <c:numCache>
                <c:formatCode>m/d/yyyy</c:formatCode>
                <c:ptCount val="6"/>
                <c:pt idx="0">
                  <c:v>43445</c:v>
                </c:pt>
                <c:pt idx="1">
                  <c:v>43488</c:v>
                </c:pt>
                <c:pt idx="2">
                  <c:v>43511</c:v>
                </c:pt>
                <c:pt idx="3">
                  <c:v>43521</c:v>
                </c:pt>
                <c:pt idx="5">
                  <c:v>43839</c:v>
                </c:pt>
              </c:numCache>
            </c:numRef>
          </c:xVal>
          <c:yVal>
            <c:numRef>
              <c:f>Summary!$E$22:$E$27</c:f>
              <c:numCache>
                <c:formatCode>0.0</c:formatCode>
                <c:ptCount val="6"/>
                <c:pt idx="0">
                  <c:v>3.7083333333333335</c:v>
                </c:pt>
                <c:pt idx="1">
                  <c:v>9.9166666666666661</c:v>
                </c:pt>
                <c:pt idx="2" formatCode="General">
                  <c:v>17.5</c:v>
                </c:pt>
                <c:pt idx="3">
                  <c:v>20.875</c:v>
                </c:pt>
                <c:pt idx="5" formatCode="General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6-4277-9F74-23CF5BCCE51D}"/>
            </c:ext>
          </c:extLst>
        </c:ser>
        <c:ser>
          <c:idx val="3"/>
          <c:order val="3"/>
          <c:tx>
            <c:strRef>
              <c:f>Summary!$F$2</c:f>
              <c:strCache>
                <c:ptCount val="1"/>
                <c:pt idx="0">
                  <c:v>SWE Obs fed sampler AVG cor (in)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Summary!$A$22:$A$27</c:f>
              <c:numCache>
                <c:formatCode>m/d/yyyy</c:formatCode>
                <c:ptCount val="6"/>
                <c:pt idx="0">
                  <c:v>43445</c:v>
                </c:pt>
                <c:pt idx="1">
                  <c:v>43488</c:v>
                </c:pt>
                <c:pt idx="2">
                  <c:v>43511</c:v>
                </c:pt>
                <c:pt idx="3">
                  <c:v>43521</c:v>
                </c:pt>
                <c:pt idx="5">
                  <c:v>43839</c:v>
                </c:pt>
              </c:numCache>
            </c:numRef>
          </c:xVal>
          <c:yVal>
            <c:numRef>
              <c:f>Summary!$F$22:$F$27</c:f>
              <c:numCache>
                <c:formatCode>0.0</c:formatCode>
                <c:ptCount val="6"/>
                <c:pt idx="0">
                  <c:v>3.433641975308642</c:v>
                </c:pt>
                <c:pt idx="1">
                  <c:v>9.182098765432098</c:v>
                </c:pt>
                <c:pt idx="2">
                  <c:v>16.203703703703702</c:v>
                </c:pt>
                <c:pt idx="3">
                  <c:v>19.328703703703702</c:v>
                </c:pt>
                <c:pt idx="5">
                  <c:v>6.2962962962962958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56-4277-9F74-23CF5BCC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5568"/>
        <c:axId val="374895176"/>
      </c:scatterChart>
      <c:valAx>
        <c:axId val="3748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5176"/>
        <c:crosses val="autoZero"/>
        <c:crossBetween val="midCat"/>
      </c:valAx>
      <c:valAx>
        <c:axId val="37489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516548236348507E-2"/>
          <c:y val="7.7820031018849892E-2"/>
          <c:w val="0.51165418347096858"/>
          <c:h val="0.25379145788594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Obs SWE vs Gamma SWE 18/19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38218466963094"/>
          <c:y val="2.4175769321886489E-2"/>
          <c:w val="0.77861381803488761"/>
          <c:h val="0.83960991506156224"/>
        </c:manualLayout>
      </c:layout>
      <c:scatterChart>
        <c:scatterStyle val="lineMarker"/>
        <c:varyColors val="0"/>
        <c:ser>
          <c:idx val="1"/>
          <c:order val="0"/>
          <c:tx>
            <c:v>Tl vs Fed cor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Summary!$F$22:$F$27</c:f>
              <c:numCache>
                <c:formatCode>0.0</c:formatCode>
                <c:ptCount val="6"/>
                <c:pt idx="0">
                  <c:v>3.433641975308642</c:v>
                </c:pt>
                <c:pt idx="1">
                  <c:v>9.182098765432098</c:v>
                </c:pt>
                <c:pt idx="2">
                  <c:v>16.203703703703702</c:v>
                </c:pt>
                <c:pt idx="3">
                  <c:v>19.328703703703702</c:v>
                </c:pt>
                <c:pt idx="5">
                  <c:v>6.2962962962962958</c:v>
                </c:pt>
              </c:numCache>
            </c:numRef>
          </c:xVal>
          <c:yVal>
            <c:numRef>
              <c:f>Summary!$B$22:$B$27</c:f>
              <c:numCache>
                <c:formatCode>0.0</c:formatCode>
                <c:ptCount val="6"/>
                <c:pt idx="0">
                  <c:v>3.4645669291338583</c:v>
                </c:pt>
                <c:pt idx="1">
                  <c:v>8.5826771653543314</c:v>
                </c:pt>
                <c:pt idx="2" formatCode="General">
                  <c:v>14.13</c:v>
                </c:pt>
                <c:pt idx="5" formatCode="General">
                  <c:v>5.7869999999999999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6-48C5-8E96-182D3A921949}"/>
            </c:ext>
          </c:extLst>
        </c:ser>
        <c:ser>
          <c:idx val="2"/>
          <c:order val="1"/>
          <c:tx>
            <c:v>K vs Fed cor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Summary!$F$22:$F$27</c:f>
              <c:numCache>
                <c:formatCode>0.0</c:formatCode>
                <c:ptCount val="6"/>
                <c:pt idx="0">
                  <c:v>3.433641975308642</c:v>
                </c:pt>
                <c:pt idx="1">
                  <c:v>9.182098765432098</c:v>
                </c:pt>
                <c:pt idx="2">
                  <c:v>16.203703703703702</c:v>
                </c:pt>
                <c:pt idx="3">
                  <c:v>19.328703703703702</c:v>
                </c:pt>
                <c:pt idx="5">
                  <c:v>6.2962962962962958</c:v>
                </c:pt>
              </c:numCache>
            </c:numRef>
          </c:xVal>
          <c:yVal>
            <c:numRef>
              <c:f>Summary!$C$22:$C$27</c:f>
              <c:numCache>
                <c:formatCode>0.0</c:formatCode>
                <c:ptCount val="6"/>
                <c:pt idx="0">
                  <c:v>3.8188976377952755</c:v>
                </c:pt>
                <c:pt idx="1">
                  <c:v>9.0551181102362204</c:v>
                </c:pt>
                <c:pt idx="2" formatCode="General">
                  <c:v>15.35</c:v>
                </c:pt>
                <c:pt idx="5" formatCode="General">
                  <c:v>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6-48C5-8E96-182D3A921949}"/>
            </c:ext>
          </c:extLst>
        </c:ser>
        <c:ser>
          <c:idx val="3"/>
          <c:order val="2"/>
          <c:tx>
            <c:v>1 to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Summary!$Z$9:$Z$10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Summary!$AA$9:$AA$10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6-48C5-8E96-182D3A92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4392"/>
        <c:axId val="375364808"/>
      </c:scatterChart>
      <c:valAx>
        <c:axId val="3748943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Federal Sampler Corrected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64808"/>
        <c:crosses val="autoZero"/>
        <c:crossBetween val="midCat"/>
      </c:valAx>
      <c:valAx>
        <c:axId val="3753648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 SWE sensor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0105167904360559"/>
          <c:y val="0.54892936230998213"/>
          <c:w val="0.45380513879664414"/>
          <c:h val="0.28945802303706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2019/20 SWE Calibration</a:t>
            </a:r>
          </a:p>
        </c:rich>
      </c:tx>
      <c:layout>
        <c:manualLayout>
          <c:xMode val="edge"/>
          <c:yMode val="edge"/>
          <c:x val="0.35417154645649229"/>
          <c:y val="2.785515320334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1050864576887"/>
          <c:y val="0.14428030303030306"/>
          <c:w val="0.84444640050075037"/>
          <c:h val="0.77163534955857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SWE CS725 TL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Summary!$A$27:$A$30</c:f>
              <c:numCache>
                <c:formatCode>m/d/yyyy</c:formatCode>
                <c:ptCount val="4"/>
                <c:pt idx="0">
                  <c:v>43839</c:v>
                </c:pt>
                <c:pt idx="1">
                  <c:v>43860</c:v>
                </c:pt>
                <c:pt idx="2">
                  <c:v>43888</c:v>
                </c:pt>
              </c:numCache>
            </c:numRef>
          </c:xVal>
          <c:yVal>
            <c:numRef>
              <c:f>Summary!$B$27:$B$30</c:f>
              <c:numCache>
                <c:formatCode>General</c:formatCode>
                <c:ptCount val="4"/>
                <c:pt idx="0">
                  <c:v>5.7869999999999999</c:v>
                </c:pt>
                <c:pt idx="1">
                  <c:v>10.9</c:v>
                </c:pt>
                <c:pt idx="2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3-4D26-A87A-6FEF0C65FB45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SWE CS725 K (in)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Summary!$A$27:$A$30</c:f>
              <c:numCache>
                <c:formatCode>m/d/yyyy</c:formatCode>
                <c:ptCount val="4"/>
                <c:pt idx="0">
                  <c:v>43839</c:v>
                </c:pt>
                <c:pt idx="1">
                  <c:v>43860</c:v>
                </c:pt>
                <c:pt idx="2">
                  <c:v>43888</c:v>
                </c:pt>
              </c:numCache>
            </c:numRef>
          </c:xVal>
          <c:yVal>
            <c:numRef>
              <c:f>Summary!$C$27:$C$30</c:f>
              <c:numCache>
                <c:formatCode>General</c:formatCode>
                <c:ptCount val="4"/>
                <c:pt idx="0">
                  <c:v>6.26</c:v>
                </c:pt>
                <c:pt idx="1">
                  <c:v>11.3</c:v>
                </c:pt>
                <c:pt idx="2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3-4D26-A87A-6FEF0C65FB45}"/>
            </c:ext>
          </c:extLst>
        </c:ser>
        <c:ser>
          <c:idx val="2"/>
          <c:order val="2"/>
          <c:tx>
            <c:strRef>
              <c:f>Summary!$E$2</c:f>
              <c:strCache>
                <c:ptCount val="1"/>
                <c:pt idx="0">
                  <c:v>SWE Obs fed sampler AVG (in)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Summary!$A$27:$A$30</c:f>
              <c:numCache>
                <c:formatCode>m/d/yyyy</c:formatCode>
                <c:ptCount val="4"/>
                <c:pt idx="0">
                  <c:v>43839</c:v>
                </c:pt>
                <c:pt idx="1">
                  <c:v>43860</c:v>
                </c:pt>
                <c:pt idx="2">
                  <c:v>43888</c:v>
                </c:pt>
              </c:numCache>
            </c:numRef>
          </c:xVal>
          <c:yVal>
            <c:numRef>
              <c:f>Summary!$E$27:$E$30</c:f>
              <c:numCache>
                <c:formatCode>General</c:formatCode>
                <c:ptCount val="4"/>
                <c:pt idx="0">
                  <c:v>6.8</c:v>
                </c:pt>
                <c:pt idx="1">
                  <c:v>12</c:v>
                </c:pt>
                <c:pt idx="2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3-4D26-A87A-6FEF0C65FB45}"/>
            </c:ext>
          </c:extLst>
        </c:ser>
        <c:ser>
          <c:idx val="3"/>
          <c:order val="3"/>
          <c:tx>
            <c:strRef>
              <c:f>Summary!$F$2</c:f>
              <c:strCache>
                <c:ptCount val="1"/>
                <c:pt idx="0">
                  <c:v>SWE Obs fed sampler AVG cor (in)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Summary!$A$27:$A$30</c:f>
              <c:numCache>
                <c:formatCode>m/d/yyyy</c:formatCode>
                <c:ptCount val="4"/>
                <c:pt idx="0">
                  <c:v>43839</c:v>
                </c:pt>
                <c:pt idx="1">
                  <c:v>43860</c:v>
                </c:pt>
                <c:pt idx="2">
                  <c:v>43888</c:v>
                </c:pt>
              </c:numCache>
            </c:numRef>
          </c:xVal>
          <c:yVal>
            <c:numRef>
              <c:f>Summary!$F$27:$F$30</c:f>
              <c:numCache>
                <c:formatCode>0.0</c:formatCode>
                <c:ptCount val="4"/>
                <c:pt idx="0">
                  <c:v>6.2962962962962958</c:v>
                </c:pt>
                <c:pt idx="1">
                  <c:v>11.111111111111111</c:v>
                </c:pt>
                <c:pt idx="2">
                  <c:v>14.351851851851851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3-4D26-A87A-6FEF0C65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95568"/>
        <c:axId val="374895176"/>
      </c:scatterChart>
      <c:valAx>
        <c:axId val="3748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5176"/>
        <c:crosses val="autoZero"/>
        <c:crossBetween val="midCat"/>
      </c:valAx>
      <c:valAx>
        <c:axId val="37489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516548236348507E-2"/>
          <c:y val="7.7820031018849892E-2"/>
          <c:w val="0.51165418347096858"/>
          <c:h val="0.25379145788594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</xdr:row>
      <xdr:rowOff>257175</xdr:rowOff>
    </xdr:from>
    <xdr:to>
      <xdr:col>21</xdr:col>
      <xdr:colOff>466725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20</xdr:row>
      <xdr:rowOff>1</xdr:rowOff>
    </xdr:from>
    <xdr:to>
      <xdr:col>20</xdr:col>
      <xdr:colOff>114300</xdr:colOff>
      <xdr:row>35</xdr:row>
      <xdr:rowOff>30481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297180</xdr:colOff>
      <xdr:row>18</xdr:row>
      <xdr:rowOff>137160</xdr:rowOff>
    </xdr:from>
    <xdr:to>
      <xdr:col>30</xdr:col>
      <xdr:colOff>433250</xdr:colOff>
      <xdr:row>35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1905000</xdr:colOff>
      <xdr:row>40</xdr:row>
      <xdr:rowOff>76201</xdr:rowOff>
    </xdr:from>
    <xdr:to>
      <xdr:col>21</xdr:col>
      <xdr:colOff>156754</xdr:colOff>
      <xdr:row>55</xdr:row>
      <xdr:rowOff>68581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40</xdr:row>
      <xdr:rowOff>0</xdr:rowOff>
    </xdr:from>
    <xdr:to>
      <xdr:col>31</xdr:col>
      <xdr:colOff>136070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921203</xdr:colOff>
      <xdr:row>41</xdr:row>
      <xdr:rowOff>150223</xdr:rowOff>
    </xdr:from>
    <xdr:to>
      <xdr:col>8</xdr:col>
      <xdr:colOff>462643</xdr:colOff>
      <xdr:row>61</xdr:row>
      <xdr:rowOff>40822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1752600</xdr:colOff>
      <xdr:row>56</xdr:row>
      <xdr:rowOff>106680</xdr:rowOff>
    </xdr:from>
    <xdr:to>
      <xdr:col>21</xdr:col>
      <xdr:colOff>4354</xdr:colOff>
      <xdr:row>71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59</xdr:row>
      <xdr:rowOff>0</xdr:rowOff>
    </xdr:from>
    <xdr:to>
      <xdr:col>31</xdr:col>
      <xdr:colOff>136070</xdr:colOff>
      <xdr:row>75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1762125</xdr:colOff>
      <xdr:row>73</xdr:row>
      <xdr:rowOff>85725</xdr:rowOff>
    </xdr:from>
    <xdr:to>
      <xdr:col>21</xdr:col>
      <xdr:colOff>17689</xdr:colOff>
      <xdr:row>88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76D970-FA15-4B1E-AA9D-5F2D6B29F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90</xdr:row>
      <xdr:rowOff>0</xdr:rowOff>
    </xdr:from>
    <xdr:to>
      <xdr:col>21</xdr:col>
      <xdr:colOff>253909</xdr:colOff>
      <xdr:row>104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2918B8-C24D-4526-AA07-C106F206D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77</xdr:row>
      <xdr:rowOff>0</xdr:rowOff>
    </xdr:from>
    <xdr:to>
      <xdr:col>31</xdr:col>
      <xdr:colOff>132260</xdr:colOff>
      <xdr:row>93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6DC0B5-3838-4CFD-A9B9-4CA940771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95</xdr:row>
      <xdr:rowOff>0</xdr:rowOff>
    </xdr:from>
    <xdr:to>
      <xdr:col>31</xdr:col>
      <xdr:colOff>136070</xdr:colOff>
      <xdr:row>111</xdr:row>
      <xdr:rowOff>167640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D67C06-774C-4610-A3B8-D0FF254FB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977810</xdr:colOff>
      <xdr:row>60</xdr:row>
      <xdr:rowOff>102869</xdr:rowOff>
    </xdr:from>
    <xdr:to>
      <xdr:col>8</xdr:col>
      <xdr:colOff>363311</xdr:colOff>
      <xdr:row>80</xdr:row>
      <xdr:rowOff>17415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92A9F-0C9E-4D0E-88EB-9B71C01D4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0</xdr:row>
      <xdr:rowOff>0</xdr:rowOff>
    </xdr:from>
    <xdr:to>
      <xdr:col>19</xdr:col>
      <xdr:colOff>53340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0A9AF-C989-475B-9F08-8B3B563CE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0A667-E103-4ADC-8B00-D8C6B73D6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5A570-7A86-47D1-8BE1-B84F3D40C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3BF5A-982C-46C4-B704-02983486B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BC9D4-9357-446B-B231-24283422D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B3C53-D7B2-41D2-A564-2534D76AD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0DFA5-C8A5-4ABA-B122-3F5C60853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AB523-2A2C-44E6-A356-943E255D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51B03-4193-4CEF-904C-0FBCDCE12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B7FB5-BCC8-48D3-B189-B92D0A639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B3BF1-DEFC-4C28-AD68-EF030C903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3540D-BE6D-4CCA-9A0A-142A7487E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6CC59-3C95-4433-92C9-EE5FEB7FD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3E9CC-FCC0-4C03-AC20-98DD8F3FD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65D7F-9826-4193-8E8D-BE51AB76E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4BC32-FED0-4241-95CD-746556251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104775</xdr:colOff>
      <xdr:row>2</xdr:row>
      <xdr:rowOff>6667</xdr:rowOff>
    </xdr:from>
    <xdr:to>
      <xdr:col>27</xdr:col>
      <xdr:colOff>409575</xdr:colOff>
      <xdr:row>16</xdr:row>
      <xdr:rowOff>116205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9A68A-C034-4091-A3A1-EAA513898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0</xdr:row>
      <xdr:rowOff>0</xdr:rowOff>
    </xdr:from>
    <xdr:to>
      <xdr:col>22</xdr:col>
      <xdr:colOff>152400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304800</xdr:colOff>
      <xdr:row>29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16</xdr:row>
      <xdr:rowOff>132080</xdr:rowOff>
    </xdr:from>
    <xdr:to>
      <xdr:col>18</xdr:col>
      <xdr:colOff>457200</xdr:colOff>
      <xdr:row>30</xdr:row>
      <xdr:rowOff>47414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17</xdr:row>
      <xdr:rowOff>0</xdr:rowOff>
    </xdr:from>
    <xdr:to>
      <xdr:col>18</xdr:col>
      <xdr:colOff>457200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110067</xdr:colOff>
      <xdr:row>0</xdr:row>
      <xdr:rowOff>177800</xdr:rowOff>
    </xdr:from>
    <xdr:to>
      <xdr:col>18</xdr:col>
      <xdr:colOff>414867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110067</xdr:colOff>
      <xdr:row>15</xdr:row>
      <xdr:rowOff>132080</xdr:rowOff>
    </xdr:from>
    <xdr:to>
      <xdr:col>18</xdr:col>
      <xdr:colOff>414867</xdr:colOff>
      <xdr:row>29</xdr:row>
      <xdr:rowOff>47413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73660</xdr:rowOff>
    </xdr:from>
    <xdr:to>
      <xdr:col>18</xdr:col>
      <xdr:colOff>304800</xdr:colOff>
      <xdr:row>28</xdr:row>
      <xdr:rowOff>35560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5080</xdr:rowOff>
    </xdr:from>
    <xdr:to>
      <xdr:col>19</xdr:col>
      <xdr:colOff>304800</xdr:colOff>
      <xdr:row>30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view="pageBreakPreview" topLeftCell="A25" zoomScale="70" zoomScaleNormal="80" zoomScaleSheetLayoutView="70" workbookViewId="0">
      <selection activeCell="E4" sqref="E4"/>
    </sheetView>
  </sheetViews>
  <sheetFormatPr defaultRowHeight="14.4" x14ac:dyDescent="0.3"/>
  <cols>
    <col min="1" max="1" width="18.5546875" customWidth="1"/>
    <col min="2" max="3" width="9.5546875" style="39" bestFit="1" customWidth="1"/>
    <col min="4" max="4" width="10.5546875" style="39" bestFit="1" customWidth="1"/>
    <col min="5" max="6" width="11.21875" style="40" customWidth="1"/>
    <col min="7" max="7" width="11.6640625" style="40" customWidth="1"/>
    <col min="8" max="8" width="10.5546875" style="40" bestFit="1" customWidth="1"/>
    <col min="9" max="9" width="8.88671875" style="40"/>
    <col min="10" max="10" width="14.77734375" style="40" customWidth="1"/>
    <col min="11" max="11" width="29.109375" customWidth="1"/>
  </cols>
  <sheetData>
    <row r="1" spans="1:27" ht="15" thickBot="1" x14ac:dyDescent="0.35">
      <c r="A1" s="15"/>
      <c r="B1" s="41" t="s">
        <v>58</v>
      </c>
      <c r="C1" s="41"/>
      <c r="D1" s="41"/>
      <c r="E1" s="42" t="s">
        <v>59</v>
      </c>
      <c r="F1" s="42"/>
      <c r="G1" s="42"/>
      <c r="H1" s="42"/>
      <c r="I1" s="42"/>
      <c r="J1" s="43"/>
    </row>
    <row r="2" spans="1:27" s="37" customFormat="1" ht="44.4" customHeight="1" thickBot="1" x14ac:dyDescent="0.35">
      <c r="A2" s="44" t="s">
        <v>107</v>
      </c>
      <c r="B2" s="60" t="s">
        <v>60</v>
      </c>
      <c r="C2" s="60" t="s">
        <v>61</v>
      </c>
      <c r="D2" s="60" t="s">
        <v>71</v>
      </c>
      <c r="E2" s="61" t="s">
        <v>66</v>
      </c>
      <c r="F2" s="61" t="s">
        <v>67</v>
      </c>
      <c r="G2" s="61" t="s">
        <v>56</v>
      </c>
      <c r="H2" s="61" t="s">
        <v>70</v>
      </c>
      <c r="I2" s="61" t="s">
        <v>57</v>
      </c>
      <c r="J2" s="59" t="s">
        <v>108</v>
      </c>
      <c r="K2" s="37" t="s">
        <v>63</v>
      </c>
    </row>
    <row r="3" spans="1:27" x14ac:dyDescent="0.3">
      <c r="A3" s="45">
        <v>42342</v>
      </c>
      <c r="B3" s="47">
        <v>0.83</v>
      </c>
      <c r="C3" s="47">
        <v>0.83</v>
      </c>
      <c r="D3" s="47"/>
      <c r="E3" s="48">
        <f>'1242015'!H13</f>
        <v>3.15</v>
      </c>
      <c r="F3" s="48">
        <f>E3/1.08</f>
        <v>2.9166666666666665</v>
      </c>
      <c r="G3" s="48"/>
      <c r="H3" s="48">
        <f>'1242015'!E13</f>
        <v>19.600000000000001</v>
      </c>
      <c r="I3" s="48"/>
      <c r="J3" s="48"/>
    </row>
    <row r="4" spans="1:27" x14ac:dyDescent="0.3">
      <c r="A4" s="46">
        <v>42397</v>
      </c>
      <c r="B4" s="80">
        <v>7.99</v>
      </c>
      <c r="C4" s="80">
        <v>8.35</v>
      </c>
      <c r="D4" s="47"/>
      <c r="E4" s="48">
        <f>'012816'!H13</f>
        <v>13.8</v>
      </c>
      <c r="F4" s="48">
        <f t="shared" ref="F4:F29" si="0">E4/1.08</f>
        <v>12.777777777777777</v>
      </c>
      <c r="G4" s="48"/>
      <c r="H4" s="48">
        <f>'012816'!E13</f>
        <v>45.7</v>
      </c>
      <c r="I4" s="48"/>
      <c r="J4" s="48"/>
      <c r="K4" s="81" t="s">
        <v>106</v>
      </c>
    </row>
    <row r="5" spans="1:27" x14ac:dyDescent="0.3">
      <c r="A5" s="46">
        <v>42424</v>
      </c>
      <c r="B5" s="80">
        <f>'022416'!C18</f>
        <v>8.8188976377952759</v>
      </c>
      <c r="C5" s="80">
        <f>'022416'!C17</f>
        <v>9.4094488188976371</v>
      </c>
      <c r="D5" s="47">
        <f>'022416'!C23</f>
        <v>45.551181102362207</v>
      </c>
      <c r="E5" s="48">
        <f>'022416'!I13</f>
        <v>15.1</v>
      </c>
      <c r="F5" s="48">
        <f t="shared" si="0"/>
        <v>13.981481481481481</v>
      </c>
      <c r="G5" s="48"/>
      <c r="H5" s="48">
        <f>'022416'!F13</f>
        <v>42.9</v>
      </c>
      <c r="I5" s="48"/>
      <c r="J5" s="48"/>
      <c r="K5" s="81" t="s">
        <v>106</v>
      </c>
    </row>
    <row r="6" spans="1:27" x14ac:dyDescent="0.3">
      <c r="A6" s="46">
        <v>42460</v>
      </c>
      <c r="B6" s="47">
        <f>'33116'!C18</f>
        <v>14.84251968503937</v>
      </c>
      <c r="C6" s="47">
        <f>'33116'!C17</f>
        <v>14.921259842519685</v>
      </c>
      <c r="D6" s="47">
        <f>'33116'!C23</f>
        <v>41.653543307086615</v>
      </c>
      <c r="E6" s="48">
        <f>'33116'!I13</f>
        <v>16.25</v>
      </c>
      <c r="F6" s="48">
        <f t="shared" si="0"/>
        <v>15.046296296296296</v>
      </c>
      <c r="G6" s="48"/>
      <c r="H6" s="48">
        <f>'33116'!F13</f>
        <v>39.549999999999997</v>
      </c>
      <c r="I6" s="48"/>
      <c r="J6" s="48"/>
    </row>
    <row r="7" spans="1:27" x14ac:dyDescent="0.3">
      <c r="B7" s="47"/>
      <c r="C7" s="47"/>
      <c r="D7" s="47"/>
      <c r="E7" s="48"/>
      <c r="F7" s="48"/>
      <c r="G7" s="48"/>
      <c r="H7" s="48"/>
      <c r="I7" s="48"/>
      <c r="J7" s="48"/>
    </row>
    <row r="8" spans="1:27" x14ac:dyDescent="0.3">
      <c r="A8" s="46">
        <v>42704</v>
      </c>
      <c r="B8" s="47">
        <f>'113016'!$C$18</f>
        <v>0.86614173228346458</v>
      </c>
      <c r="C8" s="47">
        <f>'113016'!$C$17</f>
        <v>1.0236220472440944</v>
      </c>
      <c r="D8" s="47">
        <f>'113016'!$C$24</f>
        <v>7.8740157480314963</v>
      </c>
      <c r="E8" s="48">
        <f>'113016'!$I$13</f>
        <v>1.65</v>
      </c>
      <c r="F8" s="48">
        <f t="shared" si="0"/>
        <v>1.5277777777777777</v>
      </c>
      <c r="G8" s="48"/>
      <c r="H8" s="48">
        <f>'113016'!$F$13</f>
        <v>6.15</v>
      </c>
      <c r="I8" s="48"/>
      <c r="J8" s="48"/>
      <c r="K8" t="s">
        <v>65</v>
      </c>
    </row>
    <row r="9" spans="1:27" x14ac:dyDescent="0.3">
      <c r="A9" s="46">
        <v>42726</v>
      </c>
      <c r="B9" s="47">
        <f>'122216'!$C$19</f>
        <v>4.8031496062992129</v>
      </c>
      <c r="C9" s="47">
        <f>'122216'!$C$18</f>
        <v>5.1181102362204731</v>
      </c>
      <c r="D9" s="47">
        <f>'122216'!$C$25</f>
        <v>22.440944881889759</v>
      </c>
      <c r="E9" s="48">
        <f>'122216'!$I$14</f>
        <v>4.916666666666667</v>
      </c>
      <c r="F9" s="48">
        <f t="shared" si="0"/>
        <v>4.5524691358024691</v>
      </c>
      <c r="G9" s="48"/>
      <c r="H9" s="48">
        <f>'122216'!$F$14</f>
        <v>22.791666666666668</v>
      </c>
      <c r="I9" s="48"/>
      <c r="J9" s="48"/>
      <c r="Z9">
        <v>0</v>
      </c>
      <c r="AA9">
        <v>0</v>
      </c>
    </row>
    <row r="10" spans="1:27" x14ac:dyDescent="0.3">
      <c r="A10" s="46">
        <v>42755</v>
      </c>
      <c r="B10" s="47">
        <f>'12017'!$C$19</f>
        <v>12.165354330708663</v>
      </c>
      <c r="C10" s="47">
        <f>'12017'!$C$18</f>
        <v>12.874015748031496</v>
      </c>
      <c r="D10" s="58">
        <f>'12017'!$C$25</f>
        <v>46.45669291338583</v>
      </c>
      <c r="E10" s="48">
        <f>'12017'!$I$14</f>
        <v>13.65</v>
      </c>
      <c r="F10" s="48">
        <f t="shared" si="0"/>
        <v>12.638888888888888</v>
      </c>
      <c r="G10" s="48"/>
      <c r="H10" s="48">
        <f>'12017'!$F$14</f>
        <v>53.5</v>
      </c>
      <c r="I10" s="48"/>
      <c r="J10" s="48">
        <v>54</v>
      </c>
      <c r="K10" t="s">
        <v>64</v>
      </c>
      <c r="Z10">
        <v>20</v>
      </c>
      <c r="AA10">
        <v>20</v>
      </c>
    </row>
    <row r="11" spans="1:27" x14ac:dyDescent="0.3">
      <c r="A11" s="46">
        <v>42776</v>
      </c>
      <c r="B11" s="47">
        <f>'021017'!$C$19</f>
        <v>13.54</v>
      </c>
      <c r="C11" s="47">
        <f>'021017'!$C$18</f>
        <v>15.16</v>
      </c>
      <c r="D11" s="47">
        <f>'021017'!$C$25</f>
        <v>48.425196850393704</v>
      </c>
      <c r="E11" s="48">
        <f>'021017'!$I$14</f>
        <v>16.2</v>
      </c>
      <c r="F11" s="48">
        <f t="shared" si="0"/>
        <v>14.999999999999998</v>
      </c>
      <c r="G11" s="48"/>
      <c r="H11" s="48">
        <f>'021017'!$C$14</f>
        <v>48</v>
      </c>
      <c r="I11" s="48"/>
      <c r="J11" s="48">
        <f>'021017'!$C$26</f>
        <v>47.5</v>
      </c>
    </row>
    <row r="12" spans="1:27" x14ac:dyDescent="0.3">
      <c r="A12" s="46">
        <v>42796</v>
      </c>
      <c r="B12" s="47">
        <f>'030217'!$C$19</f>
        <v>15.511811023622048</v>
      </c>
      <c r="C12" s="47">
        <f>'030217'!$C$18</f>
        <v>16.8503937007874</v>
      </c>
      <c r="D12" s="47">
        <f>'030217'!$C$25</f>
        <v>57.480314960629919</v>
      </c>
      <c r="E12" s="48">
        <f>'030217'!$I$14</f>
        <v>18.75</v>
      </c>
      <c r="F12" s="48">
        <f t="shared" si="0"/>
        <v>17.361111111111111</v>
      </c>
      <c r="G12" s="48"/>
      <c r="H12" s="48">
        <f>'030217'!$C$25</f>
        <v>57.480314960629919</v>
      </c>
      <c r="I12" s="48"/>
      <c r="J12" s="48">
        <f>'030217'!$C$26</f>
        <v>58.5</v>
      </c>
    </row>
    <row r="13" spans="1:27" x14ac:dyDescent="0.3">
      <c r="A13" s="46">
        <v>42856</v>
      </c>
      <c r="B13" s="47">
        <f>'050117'!C21</f>
        <v>7.0866141732283472</v>
      </c>
      <c r="C13" s="47">
        <f>'050117'!C20</f>
        <v>7.2834645669291342</v>
      </c>
      <c r="D13" s="47">
        <f>'050117'!C27</f>
        <v>20.399999999999999</v>
      </c>
      <c r="E13" s="48">
        <f>'050117'!I16</f>
        <v>10.166666666666666</v>
      </c>
      <c r="F13" s="48">
        <f t="shared" si="0"/>
        <v>9.413580246913579</v>
      </c>
      <c r="G13" s="48"/>
      <c r="H13" s="48">
        <f>'050117'!F16</f>
        <v>24.166666666666668</v>
      </c>
      <c r="I13" s="48"/>
      <c r="J13" s="48">
        <f>'050117'!C28</f>
        <v>19.5</v>
      </c>
    </row>
    <row r="15" spans="1:27" x14ac:dyDescent="0.3">
      <c r="A15" s="46">
        <v>43083</v>
      </c>
      <c r="B15" s="39">
        <v>1.34</v>
      </c>
      <c r="C15" s="39">
        <v>1.42</v>
      </c>
      <c r="D15" s="47">
        <f>'121417'!C27</f>
        <v>6.5748031496062991</v>
      </c>
      <c r="E15" s="40">
        <f>'121417'!I16</f>
        <v>1.5</v>
      </c>
      <c r="F15" s="48">
        <f t="shared" si="0"/>
        <v>1.3888888888888888</v>
      </c>
      <c r="H15" s="48">
        <f>'121417'!C16</f>
        <v>6.875</v>
      </c>
      <c r="J15" s="40">
        <f>'121417'!C28</f>
        <v>6.3</v>
      </c>
    </row>
    <row r="16" spans="1:27" x14ac:dyDescent="0.3">
      <c r="A16" s="63">
        <v>43111</v>
      </c>
      <c r="B16" s="39">
        <v>3.31</v>
      </c>
      <c r="C16" s="39">
        <v>3.54</v>
      </c>
      <c r="D16" s="39">
        <v>13</v>
      </c>
      <c r="E16" s="40">
        <v>3.7</v>
      </c>
      <c r="F16" s="48">
        <f t="shared" si="0"/>
        <v>3.425925925925926</v>
      </c>
      <c r="H16" s="40">
        <v>15.5</v>
      </c>
    </row>
    <row r="17" spans="1:11" x14ac:dyDescent="0.3">
      <c r="A17" s="63">
        <v>43132</v>
      </c>
      <c r="B17" s="39">
        <v>6.73</v>
      </c>
      <c r="C17" s="39">
        <v>7.05</v>
      </c>
      <c r="D17" s="39">
        <v>25.3</v>
      </c>
      <c r="E17" s="40">
        <v>7.6</v>
      </c>
      <c r="F17" s="48">
        <f t="shared" si="0"/>
        <v>7.0370370370370363</v>
      </c>
      <c r="H17" s="40">
        <v>26.8</v>
      </c>
    </row>
    <row r="18" spans="1:11" x14ac:dyDescent="0.3">
      <c r="A18" s="63">
        <v>43152</v>
      </c>
      <c r="B18" s="39">
        <v>6.97</v>
      </c>
      <c r="C18" s="39">
        <v>7.28</v>
      </c>
      <c r="D18" s="39">
        <v>26</v>
      </c>
      <c r="E18" s="40">
        <v>7.2</v>
      </c>
      <c r="F18" s="48">
        <f t="shared" si="0"/>
        <v>6.6666666666666661</v>
      </c>
      <c r="H18" s="40">
        <v>27</v>
      </c>
    </row>
    <row r="19" spans="1:11" x14ac:dyDescent="0.3">
      <c r="A19" s="46">
        <v>43167</v>
      </c>
      <c r="B19" s="64">
        <f>'030818'!C21</f>
        <v>9.98</v>
      </c>
      <c r="C19" s="64">
        <f>'030818'!C20</f>
        <v>10.26</v>
      </c>
      <c r="D19" s="39">
        <f>'030818'!C27</f>
        <v>35.799999999999997</v>
      </c>
      <c r="E19" s="40">
        <f>'030818'!I16</f>
        <v>10.5</v>
      </c>
      <c r="F19" s="48">
        <f t="shared" si="0"/>
        <v>9.7222222222222214</v>
      </c>
      <c r="H19" s="40">
        <f>'030818'!F16</f>
        <v>37.5</v>
      </c>
    </row>
    <row r="20" spans="1:11" x14ac:dyDescent="0.3">
      <c r="A20" s="46">
        <v>43203</v>
      </c>
      <c r="B20" s="39">
        <v>7.95</v>
      </c>
      <c r="C20" s="39">
        <v>8.86</v>
      </c>
      <c r="D20" s="39">
        <v>26</v>
      </c>
      <c r="E20" s="40">
        <v>8.6</v>
      </c>
      <c r="F20" s="48">
        <f t="shared" si="0"/>
        <v>7.9629629629629619</v>
      </c>
      <c r="H20" s="40">
        <v>26.4</v>
      </c>
      <c r="J20" s="40">
        <v>27.7</v>
      </c>
    </row>
    <row r="22" spans="1:11" x14ac:dyDescent="0.3">
      <c r="A22" s="46">
        <v>43445</v>
      </c>
      <c r="B22" s="47">
        <f>'121118'!C21</f>
        <v>3.4645669291338583</v>
      </c>
      <c r="C22" s="47">
        <f>'121118'!C20</f>
        <v>3.8188976377952755</v>
      </c>
      <c r="D22" s="47">
        <f>'121118'!C27</f>
        <v>15.078740157480315</v>
      </c>
      <c r="E22" s="48">
        <f>'121118'!I16</f>
        <v>3.7083333333333335</v>
      </c>
      <c r="F22" s="48">
        <f t="shared" si="0"/>
        <v>3.433641975308642</v>
      </c>
      <c r="G22" s="48"/>
      <c r="H22" s="48">
        <f>'121118'!F16</f>
        <v>16.375</v>
      </c>
      <c r="I22" s="48"/>
      <c r="J22" s="48">
        <f>'121118'!B28</f>
        <v>15.666666666666666</v>
      </c>
    </row>
    <row r="23" spans="1:11" x14ac:dyDescent="0.3">
      <c r="A23" s="46">
        <v>43488</v>
      </c>
      <c r="B23" s="47">
        <f>'12319'!C21</f>
        <v>8.5826771653543314</v>
      </c>
      <c r="C23" s="47">
        <f>'12319'!C20</f>
        <v>9.0551181102362204</v>
      </c>
      <c r="D23" s="47">
        <f>'12319'!C27</f>
        <v>31.220472440944881</v>
      </c>
      <c r="E23" s="48">
        <f>'12319'!I16</f>
        <v>9.9166666666666661</v>
      </c>
      <c r="F23" s="48">
        <f t="shared" si="0"/>
        <v>9.182098765432098</v>
      </c>
      <c r="G23" s="48"/>
      <c r="H23" s="48">
        <f>'12319'!F16</f>
        <v>33.041666666666664</v>
      </c>
      <c r="I23" s="48"/>
      <c r="J23" s="48">
        <f>'12319'!B28</f>
        <v>32.125</v>
      </c>
    </row>
    <row r="24" spans="1:11" x14ac:dyDescent="0.3">
      <c r="A24" s="46">
        <v>43511</v>
      </c>
      <c r="B24" s="39">
        <f>'21519'!C21</f>
        <v>14.13</v>
      </c>
      <c r="C24" s="39">
        <f>'21519'!C20</f>
        <v>15.35</v>
      </c>
      <c r="D24" s="39">
        <f>'21519'!C27</f>
        <v>58.5</v>
      </c>
      <c r="E24" s="40">
        <f>'21519'!I16</f>
        <v>17.5</v>
      </c>
      <c r="F24" s="48">
        <f t="shared" si="0"/>
        <v>16.203703703703702</v>
      </c>
      <c r="H24" s="48">
        <f>'21519'!C16</f>
        <v>68.416666666666671</v>
      </c>
    </row>
    <row r="25" spans="1:11" x14ac:dyDescent="0.3">
      <c r="A25" s="46">
        <v>43521</v>
      </c>
      <c r="B25" s="71"/>
      <c r="C25" s="71"/>
      <c r="D25" s="70">
        <f>190/2.54</f>
        <v>74.803149606299215</v>
      </c>
      <c r="E25" s="48">
        <f>'22519 '!I16</f>
        <v>20.875</v>
      </c>
      <c r="F25" s="48">
        <f t="shared" si="0"/>
        <v>19.328703703703702</v>
      </c>
      <c r="H25" s="48">
        <f>'22519 '!C16</f>
        <v>84.916666666666671</v>
      </c>
      <c r="K25" t="s">
        <v>84</v>
      </c>
    </row>
    <row r="26" spans="1:11" x14ac:dyDescent="0.3">
      <c r="F26" s="48"/>
    </row>
    <row r="27" spans="1:11" x14ac:dyDescent="0.3">
      <c r="A27" s="46">
        <v>43839</v>
      </c>
      <c r="B27" s="39">
        <v>5.7869999999999999</v>
      </c>
      <c r="C27" s="39">
        <v>6.26</v>
      </c>
      <c r="D27" s="39">
        <v>27.6</v>
      </c>
      <c r="E27" s="40">
        <v>6.8</v>
      </c>
      <c r="F27" s="48">
        <f t="shared" si="0"/>
        <v>6.2962962962962958</v>
      </c>
      <c r="H27" s="40">
        <v>28.3</v>
      </c>
    </row>
    <row r="28" spans="1:11" x14ac:dyDescent="0.3">
      <c r="A28" s="46">
        <v>43860</v>
      </c>
      <c r="B28" s="39">
        <v>10.9</v>
      </c>
      <c r="C28" s="39">
        <v>11.3</v>
      </c>
      <c r="D28" s="39">
        <v>41.5</v>
      </c>
      <c r="E28" s="40">
        <v>12</v>
      </c>
      <c r="F28" s="48">
        <f t="shared" si="0"/>
        <v>11.111111111111111</v>
      </c>
      <c r="H28" s="40">
        <v>44.3</v>
      </c>
    </row>
    <row r="29" spans="1:11" x14ac:dyDescent="0.3">
      <c r="A29" s="46">
        <v>43888</v>
      </c>
      <c r="B29" s="39">
        <v>13.4</v>
      </c>
      <c r="C29" s="39">
        <v>14.3</v>
      </c>
      <c r="D29" s="39">
        <v>45.8</v>
      </c>
      <c r="E29" s="40">
        <v>15.5</v>
      </c>
      <c r="F29" s="48">
        <f t="shared" si="0"/>
        <v>14.351851851851851</v>
      </c>
      <c r="H29" s="40">
        <v>48.2</v>
      </c>
    </row>
    <row r="33" spans="1:8" x14ac:dyDescent="0.3">
      <c r="A33" s="46">
        <v>44169</v>
      </c>
      <c r="B33" s="39">
        <v>4.8</v>
      </c>
      <c r="C33" s="39">
        <v>5.2</v>
      </c>
      <c r="D33" s="39">
        <v>17.5</v>
      </c>
      <c r="E33" s="40">
        <v>5.8</v>
      </c>
      <c r="F33" s="48">
        <f t="shared" ref="F33:F37" si="1">E33/1.08</f>
        <v>5.3703703703703702</v>
      </c>
      <c r="H33" s="40">
        <v>19</v>
      </c>
    </row>
    <row r="34" spans="1:8" x14ac:dyDescent="0.3">
      <c r="A34" s="46">
        <v>44203</v>
      </c>
      <c r="B34" s="39">
        <v>9.3000000000000007</v>
      </c>
      <c r="C34" s="39">
        <v>10</v>
      </c>
      <c r="D34" s="39">
        <v>42</v>
      </c>
      <c r="E34" s="40">
        <v>10.3</v>
      </c>
      <c r="F34" s="48">
        <f t="shared" si="1"/>
        <v>9.5370370370370363</v>
      </c>
      <c r="H34" s="40">
        <v>44.9</v>
      </c>
    </row>
    <row r="35" spans="1:8" x14ac:dyDescent="0.3">
      <c r="A35" s="46">
        <v>44246</v>
      </c>
      <c r="B35" s="39">
        <v>14.1</v>
      </c>
      <c r="C35" s="39">
        <v>14.8</v>
      </c>
      <c r="D35" s="39">
        <v>59.2</v>
      </c>
      <c r="E35" s="40">
        <v>15.7</v>
      </c>
      <c r="F35" s="48">
        <f t="shared" si="1"/>
        <v>14.537037037037035</v>
      </c>
      <c r="H35" s="40">
        <v>62.8</v>
      </c>
    </row>
    <row r="36" spans="1:8" x14ac:dyDescent="0.3">
      <c r="A36" s="46">
        <v>44278</v>
      </c>
      <c r="B36" s="39">
        <v>13.5</v>
      </c>
      <c r="C36" s="39">
        <v>15.1</v>
      </c>
      <c r="D36" s="39">
        <v>51.4</v>
      </c>
      <c r="E36" s="40">
        <v>16.600000000000001</v>
      </c>
      <c r="F36" s="48">
        <f t="shared" si="1"/>
        <v>15.37037037037037</v>
      </c>
      <c r="H36" s="40">
        <v>54.1</v>
      </c>
    </row>
    <row r="37" spans="1:8" x14ac:dyDescent="0.3">
      <c r="A37" s="46">
        <v>44290</v>
      </c>
      <c r="B37" s="39">
        <v>12.95</v>
      </c>
      <c r="C37" s="39">
        <v>14.29</v>
      </c>
      <c r="D37" s="39">
        <v>42.4</v>
      </c>
      <c r="E37" s="40">
        <v>15.7</v>
      </c>
      <c r="F37" s="40">
        <f t="shared" si="1"/>
        <v>14.537037037037035</v>
      </c>
      <c r="H37" s="40">
        <v>44.7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"/>
  <sheetViews>
    <sheetView workbookViewId="0">
      <selection activeCell="D31" sqref="A31:D31"/>
    </sheetView>
  </sheetViews>
  <sheetFormatPr defaultRowHeight="14.4" x14ac:dyDescent="0.3"/>
  <cols>
    <col min="1" max="1" width="17" bestFit="1" customWidth="1"/>
    <col min="3" max="3" width="16.6640625" customWidth="1"/>
    <col min="4" max="4" width="15.6640625" bestFit="1" customWidth="1"/>
    <col min="5" max="5" width="14.6640625" bestFit="1" customWidth="1"/>
    <col min="6" max="6" width="15.6640625" bestFit="1" customWidth="1"/>
    <col min="7" max="7" width="27.33203125" bestFit="1" customWidth="1"/>
    <col min="8" max="8" width="14.6640625" bestFit="1" customWidth="1"/>
    <col min="9" max="9" width="11.21875" bestFit="1" customWidth="1"/>
  </cols>
  <sheetData>
    <row r="1" spans="1:10" x14ac:dyDescent="0.3">
      <c r="A1" t="s">
        <v>52</v>
      </c>
      <c r="B1" t="s">
        <v>0</v>
      </c>
      <c r="C1" t="s">
        <v>4</v>
      </c>
      <c r="D1" t="s">
        <v>5</v>
      </c>
      <c r="E1" t="s">
        <v>6</v>
      </c>
      <c r="F1" t="s">
        <v>8</v>
      </c>
      <c r="G1" t="s">
        <v>2</v>
      </c>
      <c r="H1" t="s">
        <v>1</v>
      </c>
      <c r="I1" t="s">
        <v>3</v>
      </c>
      <c r="J1" t="s">
        <v>9</v>
      </c>
    </row>
    <row r="2" spans="1:10" ht="37.799999999999997" customHeight="1" x14ac:dyDescent="0.3">
      <c r="A2" s="37" t="s">
        <v>51</v>
      </c>
      <c r="J2" s="1"/>
    </row>
    <row r="3" spans="1:10" x14ac:dyDescent="0.3">
      <c r="J3" s="1"/>
    </row>
    <row r="4" spans="1:10" x14ac:dyDescent="0.3">
      <c r="B4">
        <v>1</v>
      </c>
      <c r="C4">
        <v>61</v>
      </c>
      <c r="D4">
        <v>56</v>
      </c>
      <c r="G4">
        <v>38.5</v>
      </c>
      <c r="H4">
        <v>17</v>
      </c>
      <c r="I4">
        <f>G4-H4</f>
        <v>21.5</v>
      </c>
      <c r="J4" s="1">
        <f>I4/C4</f>
        <v>0.35245901639344263</v>
      </c>
    </row>
    <row r="5" spans="1:10" x14ac:dyDescent="0.3">
      <c r="B5">
        <v>1</v>
      </c>
      <c r="C5">
        <v>60</v>
      </c>
      <c r="D5">
        <v>55</v>
      </c>
      <c r="G5">
        <v>38.5</v>
      </c>
      <c r="H5">
        <v>17</v>
      </c>
      <c r="I5">
        <f t="shared" ref="I5:I13" si="0">G5-H5</f>
        <v>21.5</v>
      </c>
      <c r="J5" s="1">
        <f t="shared" ref="J5:J13" si="1">I5/C5</f>
        <v>0.35833333333333334</v>
      </c>
    </row>
    <row r="6" spans="1:10" x14ac:dyDescent="0.3">
      <c r="B6">
        <v>2</v>
      </c>
      <c r="C6">
        <v>62</v>
      </c>
      <c r="J6" s="1"/>
    </row>
    <row r="7" spans="1:10" x14ac:dyDescent="0.3">
      <c r="B7">
        <v>2</v>
      </c>
      <c r="J7" s="1"/>
    </row>
    <row r="8" spans="1:10" x14ac:dyDescent="0.3">
      <c r="B8">
        <v>3</v>
      </c>
      <c r="J8" s="1"/>
    </row>
    <row r="9" spans="1:10" x14ac:dyDescent="0.3">
      <c r="B9">
        <v>3</v>
      </c>
      <c r="C9">
        <v>62</v>
      </c>
      <c r="D9">
        <v>50</v>
      </c>
      <c r="G9">
        <v>35.5</v>
      </c>
      <c r="H9">
        <v>18.5</v>
      </c>
      <c r="I9">
        <f t="shared" si="0"/>
        <v>17</v>
      </c>
      <c r="J9" s="1">
        <f t="shared" si="1"/>
        <v>0.27419354838709675</v>
      </c>
    </row>
    <row r="10" spans="1:10" x14ac:dyDescent="0.3">
      <c r="B10">
        <v>4</v>
      </c>
      <c r="C10">
        <v>55</v>
      </c>
      <c r="D10">
        <v>52</v>
      </c>
      <c r="G10">
        <v>36</v>
      </c>
      <c r="H10">
        <v>18.5</v>
      </c>
      <c r="I10">
        <f t="shared" si="0"/>
        <v>17.5</v>
      </c>
      <c r="J10" s="1">
        <f t="shared" si="1"/>
        <v>0.31818181818181818</v>
      </c>
    </row>
    <row r="11" spans="1:10" x14ac:dyDescent="0.3">
      <c r="B11">
        <v>4</v>
      </c>
      <c r="J11" s="1"/>
    </row>
    <row r="12" spans="1:10" x14ac:dyDescent="0.3">
      <c r="B12">
        <v>5</v>
      </c>
      <c r="C12">
        <v>62</v>
      </c>
      <c r="D12">
        <v>55</v>
      </c>
      <c r="G12">
        <v>37</v>
      </c>
      <c r="H12">
        <v>19</v>
      </c>
      <c r="I12">
        <f t="shared" si="0"/>
        <v>18</v>
      </c>
      <c r="J12" s="1">
        <f t="shared" si="1"/>
        <v>0.29032258064516131</v>
      </c>
    </row>
    <row r="13" spans="1:10" x14ac:dyDescent="0.3">
      <c r="B13">
        <v>5</v>
      </c>
      <c r="C13">
        <v>61</v>
      </c>
      <c r="D13">
        <v>50</v>
      </c>
      <c r="G13">
        <v>36</v>
      </c>
      <c r="H13">
        <v>19</v>
      </c>
      <c r="I13">
        <f t="shared" si="0"/>
        <v>17</v>
      </c>
      <c r="J13" s="1">
        <f t="shared" si="1"/>
        <v>0.27868852459016391</v>
      </c>
    </row>
    <row r="14" spans="1:10" x14ac:dyDescent="0.3">
      <c r="B14" s="3" t="s">
        <v>7</v>
      </c>
      <c r="C14" s="25">
        <f>SUM(C4:C13)/7</f>
        <v>60.428571428571431</v>
      </c>
      <c r="D14" s="25">
        <f>SUM(D4:D13)/6</f>
        <v>53</v>
      </c>
      <c r="E14" s="25">
        <f>SUM(E4:E13)/10</f>
        <v>0</v>
      </c>
      <c r="F14" s="25"/>
      <c r="G14" s="25">
        <f>SUM(G4:G13)/6</f>
        <v>36.916666666666664</v>
      </c>
      <c r="H14" s="25">
        <f>SUM(H4:H13)/6</f>
        <v>18.166666666666668</v>
      </c>
      <c r="I14" s="24">
        <f>SUM(I4:I13)/6</f>
        <v>18.75</v>
      </c>
      <c r="J14" s="2">
        <f>SUM(J4:J13)/6</f>
        <v>0.31202980358850269</v>
      </c>
    </row>
    <row r="15" spans="1:10" x14ac:dyDescent="0.3">
      <c r="C15" s="13">
        <f>CONVERT(C14,"in","m")</f>
        <v>1.5348857142857144</v>
      </c>
    </row>
    <row r="17" spans="1:11" x14ac:dyDescent="0.3">
      <c r="A17" s="27"/>
      <c r="B17" s="27" t="s">
        <v>41</v>
      </c>
      <c r="C17" s="28" t="s">
        <v>40</v>
      </c>
      <c r="D17" s="5"/>
      <c r="E17" s="5"/>
    </row>
    <row r="18" spans="1:11" x14ac:dyDescent="0.3">
      <c r="A18" s="27" t="s">
        <v>17</v>
      </c>
      <c r="B18" s="27">
        <v>428</v>
      </c>
      <c r="C18" s="29">
        <f>CONVERT(B18, "mm","in")</f>
        <v>16.8503937007874</v>
      </c>
      <c r="D18" s="5"/>
      <c r="E18" s="5"/>
    </row>
    <row r="19" spans="1:11" x14ac:dyDescent="0.3">
      <c r="A19" s="27" t="s">
        <v>18</v>
      </c>
      <c r="B19" s="27">
        <v>394</v>
      </c>
      <c r="C19" s="29">
        <f>CONVERT(B19, "mm","in")</f>
        <v>15.511811023622048</v>
      </c>
      <c r="D19" s="5"/>
      <c r="E19" s="5"/>
    </row>
    <row r="20" spans="1:11" ht="15" thickBot="1" x14ac:dyDescent="0.35">
      <c r="A20" s="27" t="s">
        <v>39</v>
      </c>
      <c r="B20" s="27">
        <f>AVERAGE(B18:B19)</f>
        <v>411</v>
      </c>
      <c r="C20" s="30">
        <f>AVERAGE(C18:C19)</f>
        <v>16.181102362204726</v>
      </c>
      <c r="D20" s="5"/>
      <c r="E20" s="5"/>
    </row>
    <row r="21" spans="1:11" ht="29.4" thickBot="1" x14ac:dyDescent="0.35">
      <c r="C21" s="26" t="s">
        <v>14</v>
      </c>
      <c r="D21" s="22">
        <f>I14-((C18+C19)/2)</f>
        <v>2.5688976377952741</v>
      </c>
      <c r="E21" s="9" t="s">
        <v>25</v>
      </c>
      <c r="G21" t="s">
        <v>15</v>
      </c>
      <c r="H21" s="1">
        <f>C18/I14</f>
        <v>0.89868766404199463</v>
      </c>
      <c r="J21" t="s">
        <v>7</v>
      </c>
      <c r="K21" s="13">
        <f>AVERAGE(I4:I13)</f>
        <v>18.75</v>
      </c>
    </row>
    <row r="22" spans="1:11" ht="15" thickBot="1" x14ac:dyDescent="0.35">
      <c r="C22" s="10"/>
      <c r="D22" s="23">
        <f>CONVERT(D21,"in","mm")</f>
        <v>65.249999999999957</v>
      </c>
      <c r="E22" s="12" t="s">
        <v>26</v>
      </c>
      <c r="G22" t="s">
        <v>53</v>
      </c>
      <c r="H22" s="38">
        <f>(C20-I14)/I14</f>
        <v>-0.13700787401574796</v>
      </c>
      <c r="J22" t="s">
        <v>20</v>
      </c>
      <c r="K22" s="13">
        <f>STDEVA(I4:I13)</f>
        <v>2.1621748310439655</v>
      </c>
    </row>
    <row r="23" spans="1:11" ht="15" thickBot="1" x14ac:dyDescent="0.35">
      <c r="J23" t="s">
        <v>21</v>
      </c>
      <c r="K23" s="13">
        <f>VARA(I4:I13)</f>
        <v>4.6749999999999998</v>
      </c>
    </row>
    <row r="24" spans="1:11" x14ac:dyDescent="0.3">
      <c r="A24" s="15" t="s">
        <v>42</v>
      </c>
      <c r="B24" s="16" t="s">
        <v>23</v>
      </c>
      <c r="C24" s="17" t="s">
        <v>24</v>
      </c>
      <c r="D24" t="s">
        <v>47</v>
      </c>
    </row>
    <row r="25" spans="1:11" ht="15" thickBot="1" x14ac:dyDescent="0.35">
      <c r="A25" s="10" t="s">
        <v>19</v>
      </c>
      <c r="B25" s="18">
        <v>1.46</v>
      </c>
      <c r="C25" s="19">
        <f>CONVERT(B25,"m","in")</f>
        <v>57.480314960629919</v>
      </c>
      <c r="D25" s="35">
        <f>C14-C25</f>
        <v>2.948256467941512</v>
      </c>
    </row>
    <row r="26" spans="1:11" x14ac:dyDescent="0.3">
      <c r="A26" s="36" t="s">
        <v>50</v>
      </c>
      <c r="C26">
        <v>58.5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1"/>
  <sheetViews>
    <sheetView workbookViewId="0">
      <selection activeCell="D27" sqref="D27"/>
    </sheetView>
  </sheetViews>
  <sheetFormatPr defaultRowHeight="14.4" x14ac:dyDescent="0.3"/>
  <cols>
    <col min="2" max="2" width="6.88671875" bestFit="1" customWidth="1"/>
    <col min="3" max="3" width="16.44140625" customWidth="1"/>
  </cols>
  <sheetData>
    <row r="1" spans="1:10" ht="52.2" customHeight="1" x14ac:dyDescent="0.3">
      <c r="A1" s="37" t="s">
        <v>55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x14ac:dyDescent="0.3">
      <c r="A2" s="37" t="s">
        <v>54</v>
      </c>
      <c r="J2" s="1"/>
    </row>
    <row r="3" spans="1:10" x14ac:dyDescent="0.3">
      <c r="J3" s="1"/>
    </row>
    <row r="4" spans="1:10" x14ac:dyDescent="0.3">
      <c r="B4">
        <v>1</v>
      </c>
      <c r="C4">
        <v>19.5</v>
      </c>
      <c r="D4">
        <v>16</v>
      </c>
      <c r="E4">
        <v>1</v>
      </c>
      <c r="F4">
        <f>C4-E4</f>
        <v>18.5</v>
      </c>
      <c r="G4">
        <v>28</v>
      </c>
      <c r="H4">
        <v>22.5</v>
      </c>
      <c r="I4">
        <f>G4-H4</f>
        <v>5.5</v>
      </c>
      <c r="J4" s="1">
        <f>I4/F4</f>
        <v>0.29729729729729731</v>
      </c>
    </row>
    <row r="5" spans="1:10" x14ac:dyDescent="0.3">
      <c r="B5">
        <v>1</v>
      </c>
      <c r="C5">
        <v>14.5</v>
      </c>
      <c r="D5">
        <v>14.5</v>
      </c>
      <c r="E5">
        <v>0</v>
      </c>
      <c r="F5">
        <f t="shared" ref="F5:F15" si="0">C5-E5</f>
        <v>14.5</v>
      </c>
      <c r="G5">
        <v>27</v>
      </c>
      <c r="H5">
        <v>22</v>
      </c>
      <c r="I5">
        <f t="shared" ref="I5:I15" si="1">G5-H5</f>
        <v>5</v>
      </c>
      <c r="J5" s="1">
        <f t="shared" ref="J5:J15" si="2">I5/F5</f>
        <v>0.34482758620689657</v>
      </c>
    </row>
    <row r="6" spans="1:10" x14ac:dyDescent="0.3">
      <c r="B6">
        <v>2</v>
      </c>
      <c r="C6">
        <v>15.5</v>
      </c>
      <c r="D6">
        <v>13</v>
      </c>
      <c r="E6">
        <v>0.5</v>
      </c>
      <c r="F6">
        <f t="shared" si="0"/>
        <v>15</v>
      </c>
      <c r="G6">
        <v>27</v>
      </c>
      <c r="H6">
        <v>22</v>
      </c>
      <c r="I6">
        <f t="shared" si="1"/>
        <v>5</v>
      </c>
      <c r="J6" s="1">
        <f t="shared" si="2"/>
        <v>0.33333333333333331</v>
      </c>
    </row>
    <row r="7" spans="1:10" x14ac:dyDescent="0.3">
      <c r="B7">
        <v>2</v>
      </c>
      <c r="C7">
        <v>14.5</v>
      </c>
      <c r="D7">
        <v>15</v>
      </c>
      <c r="E7">
        <v>2</v>
      </c>
      <c r="F7">
        <f t="shared" si="0"/>
        <v>12.5</v>
      </c>
      <c r="G7">
        <v>27</v>
      </c>
      <c r="H7">
        <v>22</v>
      </c>
      <c r="I7">
        <f t="shared" si="1"/>
        <v>5</v>
      </c>
      <c r="J7" s="1">
        <f t="shared" si="2"/>
        <v>0.4</v>
      </c>
    </row>
    <row r="8" spans="1:10" x14ac:dyDescent="0.3">
      <c r="B8">
        <v>3</v>
      </c>
      <c r="C8">
        <v>26.5</v>
      </c>
      <c r="D8">
        <v>25.5</v>
      </c>
      <c r="E8">
        <v>0.5</v>
      </c>
      <c r="F8">
        <f t="shared" si="0"/>
        <v>26</v>
      </c>
      <c r="G8">
        <v>32</v>
      </c>
      <c r="H8">
        <v>22</v>
      </c>
      <c r="I8">
        <f t="shared" si="1"/>
        <v>10</v>
      </c>
      <c r="J8" s="1">
        <f t="shared" si="2"/>
        <v>0.38461538461538464</v>
      </c>
    </row>
    <row r="9" spans="1:10" x14ac:dyDescent="0.3">
      <c r="B9">
        <v>3</v>
      </c>
      <c r="C9">
        <v>27</v>
      </c>
      <c r="D9">
        <v>26.5</v>
      </c>
      <c r="E9">
        <v>1</v>
      </c>
      <c r="F9">
        <f t="shared" si="0"/>
        <v>26</v>
      </c>
      <c r="G9">
        <v>33</v>
      </c>
      <c r="H9">
        <v>22</v>
      </c>
      <c r="I9">
        <f t="shared" si="1"/>
        <v>11</v>
      </c>
      <c r="J9" s="1">
        <f t="shared" si="2"/>
        <v>0.42307692307692307</v>
      </c>
    </row>
    <row r="10" spans="1:10" x14ac:dyDescent="0.3">
      <c r="B10">
        <v>4</v>
      </c>
      <c r="C10">
        <v>34</v>
      </c>
      <c r="D10">
        <v>33.5</v>
      </c>
      <c r="E10">
        <v>2.5</v>
      </c>
      <c r="F10">
        <f t="shared" si="0"/>
        <v>31.5</v>
      </c>
      <c r="G10">
        <v>37</v>
      </c>
      <c r="H10">
        <v>21</v>
      </c>
      <c r="I10">
        <f t="shared" si="1"/>
        <v>16</v>
      </c>
      <c r="J10" s="1">
        <f t="shared" si="2"/>
        <v>0.50793650793650791</v>
      </c>
    </row>
    <row r="11" spans="1:10" x14ac:dyDescent="0.3">
      <c r="B11">
        <v>4</v>
      </c>
      <c r="C11">
        <v>33</v>
      </c>
      <c r="D11">
        <v>33</v>
      </c>
      <c r="E11">
        <v>1</v>
      </c>
      <c r="F11">
        <f t="shared" si="0"/>
        <v>32</v>
      </c>
      <c r="G11">
        <v>36</v>
      </c>
      <c r="H11">
        <v>21</v>
      </c>
      <c r="I11">
        <f t="shared" si="1"/>
        <v>15</v>
      </c>
      <c r="J11" s="1">
        <f t="shared" si="2"/>
        <v>0.46875</v>
      </c>
    </row>
    <row r="12" spans="1:10" x14ac:dyDescent="0.3">
      <c r="B12">
        <v>5</v>
      </c>
      <c r="C12">
        <v>31.5</v>
      </c>
      <c r="D12">
        <v>30</v>
      </c>
      <c r="E12">
        <v>0.5</v>
      </c>
      <c r="F12">
        <f t="shared" si="0"/>
        <v>31</v>
      </c>
      <c r="G12">
        <v>36</v>
      </c>
      <c r="H12">
        <v>22</v>
      </c>
      <c r="I12">
        <f t="shared" si="1"/>
        <v>14</v>
      </c>
      <c r="J12" s="1">
        <f t="shared" si="2"/>
        <v>0.45161290322580644</v>
      </c>
    </row>
    <row r="13" spans="1:10" x14ac:dyDescent="0.3">
      <c r="B13">
        <v>5</v>
      </c>
      <c r="C13">
        <v>30.5</v>
      </c>
      <c r="D13">
        <v>30</v>
      </c>
      <c r="E13">
        <v>0</v>
      </c>
      <c r="F13">
        <f t="shared" si="0"/>
        <v>30.5</v>
      </c>
      <c r="G13">
        <v>35.5</v>
      </c>
      <c r="H13">
        <v>22</v>
      </c>
      <c r="I13">
        <f t="shared" si="1"/>
        <v>13.5</v>
      </c>
      <c r="J13" s="1">
        <f t="shared" si="2"/>
        <v>0.44262295081967212</v>
      </c>
    </row>
    <row r="14" spans="1:10" x14ac:dyDescent="0.3">
      <c r="B14">
        <v>6</v>
      </c>
      <c r="C14">
        <v>27</v>
      </c>
      <c r="D14">
        <v>27</v>
      </c>
      <c r="E14">
        <v>1</v>
      </c>
      <c r="F14">
        <f t="shared" si="0"/>
        <v>26</v>
      </c>
      <c r="G14">
        <v>33</v>
      </c>
      <c r="H14">
        <v>22</v>
      </c>
      <c r="I14">
        <f t="shared" si="1"/>
        <v>11</v>
      </c>
      <c r="J14" s="1">
        <f t="shared" si="2"/>
        <v>0.42307692307692307</v>
      </c>
    </row>
    <row r="15" spans="1:10" x14ac:dyDescent="0.3">
      <c r="B15">
        <v>6</v>
      </c>
      <c r="C15">
        <v>27</v>
      </c>
      <c r="D15">
        <v>26.5</v>
      </c>
      <c r="E15">
        <v>0.5</v>
      </c>
      <c r="F15">
        <f t="shared" si="0"/>
        <v>26.5</v>
      </c>
      <c r="G15">
        <v>33</v>
      </c>
      <c r="H15">
        <v>22</v>
      </c>
      <c r="I15">
        <f t="shared" si="1"/>
        <v>11</v>
      </c>
      <c r="J15" s="1">
        <f t="shared" si="2"/>
        <v>0.41509433962264153</v>
      </c>
    </row>
    <row r="16" spans="1:10" x14ac:dyDescent="0.3">
      <c r="B16" s="3" t="s">
        <v>7</v>
      </c>
      <c r="C16" s="25">
        <f t="shared" ref="C16:J16" si="3">SUM(C4:C15)/12</f>
        <v>25.041666666666668</v>
      </c>
      <c r="D16" s="25">
        <f t="shared" si="3"/>
        <v>24.208333333333332</v>
      </c>
      <c r="E16" s="25">
        <f t="shared" si="3"/>
        <v>0.875</v>
      </c>
      <c r="F16" s="25">
        <f t="shared" si="3"/>
        <v>24.166666666666668</v>
      </c>
      <c r="G16" s="25">
        <f t="shared" si="3"/>
        <v>32.041666666666664</v>
      </c>
      <c r="H16" s="25">
        <f t="shared" si="3"/>
        <v>21.875</v>
      </c>
      <c r="I16" s="25">
        <f t="shared" si="3"/>
        <v>10.166666666666666</v>
      </c>
      <c r="J16" s="2">
        <f t="shared" si="3"/>
        <v>0.40768701243428218</v>
      </c>
    </row>
    <row r="17" spans="1:11" x14ac:dyDescent="0.3">
      <c r="C17" s="13">
        <f>CONVERT(C16,"in","m")</f>
        <v>0.63605833333333339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27">
        <v>185</v>
      </c>
      <c r="C20" s="29">
        <f>CONVERT(B20, "mm","in")</f>
        <v>7.2834645669291342</v>
      </c>
      <c r="D20" s="5"/>
      <c r="E20" s="5"/>
    </row>
    <row r="21" spans="1:11" x14ac:dyDescent="0.3">
      <c r="A21" s="27" t="s">
        <v>18</v>
      </c>
      <c r="B21" s="27">
        <v>180</v>
      </c>
      <c r="C21" s="29">
        <f>CONVERT(B21, "mm","in")</f>
        <v>7.0866141732283472</v>
      </c>
      <c r="D21" s="5"/>
      <c r="E21" s="5"/>
    </row>
    <row r="22" spans="1:11" ht="15" thickBot="1" x14ac:dyDescent="0.35">
      <c r="A22" s="27" t="s">
        <v>39</v>
      </c>
      <c r="B22" s="27">
        <f>AVERAGE(B20:B21)</f>
        <v>182.5</v>
      </c>
      <c r="C22" s="49">
        <f>AVERAGE(C20:C21)</f>
        <v>7.1850393700787407</v>
      </c>
      <c r="D22" s="5"/>
      <c r="E22" s="5"/>
    </row>
    <row r="23" spans="1:11" ht="36.6" customHeight="1" x14ac:dyDescent="0.3">
      <c r="A23" s="50" t="s">
        <v>14</v>
      </c>
      <c r="B23" s="56">
        <f>I16-((C20+C21)/2)</f>
        <v>2.9816272965879254</v>
      </c>
      <c r="C23" s="51" t="s">
        <v>25</v>
      </c>
      <c r="D23" s="52"/>
      <c r="E23" s="52" t="s">
        <v>15</v>
      </c>
      <c r="F23" s="53">
        <f>C20/I16</f>
        <v>0.71640635084548865</v>
      </c>
      <c r="J23" t="s">
        <v>7</v>
      </c>
      <c r="K23" s="13">
        <f>AVERAGE(I4:I13)</f>
        <v>10</v>
      </c>
    </row>
    <row r="24" spans="1:11" ht="15" thickBot="1" x14ac:dyDescent="0.35">
      <c r="A24" s="10"/>
      <c r="B24" s="57">
        <f>CONVERT(B23,"in","mm")</f>
        <v>75.733333333333306</v>
      </c>
      <c r="C24" s="11" t="s">
        <v>26</v>
      </c>
      <c r="D24" s="54"/>
      <c r="E24" s="54" t="s">
        <v>53</v>
      </c>
      <c r="F24" s="55">
        <f>(C22-I16)/I16</f>
        <v>-0.29327481605782874</v>
      </c>
      <c r="J24" t="s">
        <v>20</v>
      </c>
      <c r="K24" s="13">
        <f>STDEVA(I4:I13)</f>
        <v>4.5399461572920785</v>
      </c>
    </row>
    <row r="25" spans="1:11" ht="15" thickBot="1" x14ac:dyDescent="0.35">
      <c r="J25" t="s">
        <v>21</v>
      </c>
      <c r="K25" s="13">
        <f>VARA(I4:I13)</f>
        <v>20.611111111111111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/>
      <c r="C27" s="19">
        <v>20.399999999999999</v>
      </c>
      <c r="D27" s="35">
        <f>C16-C27</f>
        <v>4.6416666666666693</v>
      </c>
    </row>
    <row r="28" spans="1:11" x14ac:dyDescent="0.3">
      <c r="A28" s="36" t="s">
        <v>50</v>
      </c>
      <c r="C28">
        <v>19.5</v>
      </c>
    </row>
    <row r="31" spans="1:11" ht="27" customHeight="1" x14ac:dyDescent="0.3">
      <c r="A31" t="s">
        <v>68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1:K31"/>
  <sheetViews>
    <sheetView workbookViewId="0">
      <selection activeCell="F23" sqref="F23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69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x14ac:dyDescent="0.3">
      <c r="A2" s="37" t="s">
        <v>54</v>
      </c>
      <c r="J2" s="1"/>
    </row>
    <row r="3" spans="1:10" x14ac:dyDescent="0.3">
      <c r="J3" s="1"/>
    </row>
    <row r="4" spans="1:10" x14ac:dyDescent="0.3">
      <c r="B4">
        <v>1</v>
      </c>
      <c r="C4">
        <v>8</v>
      </c>
      <c r="D4">
        <v>7</v>
      </c>
      <c r="E4">
        <v>0.5</v>
      </c>
      <c r="F4">
        <f>C4-E4</f>
        <v>7.5</v>
      </c>
      <c r="G4">
        <v>4.25</v>
      </c>
      <c r="H4">
        <v>2.5</v>
      </c>
      <c r="I4">
        <f>G4-H4</f>
        <v>1.75</v>
      </c>
      <c r="J4" s="1">
        <f>I4/F4</f>
        <v>0.23333333333333334</v>
      </c>
    </row>
    <row r="5" spans="1:10" x14ac:dyDescent="0.3">
      <c r="B5">
        <v>1</v>
      </c>
      <c r="C5">
        <v>7</v>
      </c>
      <c r="D5">
        <v>5.5</v>
      </c>
      <c r="E5">
        <v>0.5</v>
      </c>
      <c r="F5">
        <f t="shared" ref="F5:F15" si="0">C5-E5</f>
        <v>6.5</v>
      </c>
      <c r="G5">
        <v>4</v>
      </c>
      <c r="H5">
        <v>2.5</v>
      </c>
      <c r="I5">
        <f t="shared" ref="I5:I15" si="1">G5-H5</f>
        <v>1.5</v>
      </c>
      <c r="J5" s="1">
        <f t="shared" ref="J5:J15" si="2">I5/F5</f>
        <v>0.23076923076923078</v>
      </c>
    </row>
    <row r="6" spans="1:10" x14ac:dyDescent="0.3">
      <c r="B6">
        <v>2</v>
      </c>
      <c r="C6">
        <v>9.5</v>
      </c>
      <c r="D6">
        <v>9.5</v>
      </c>
      <c r="E6">
        <v>1</v>
      </c>
      <c r="F6">
        <f t="shared" si="0"/>
        <v>8.5</v>
      </c>
      <c r="G6">
        <v>4.5</v>
      </c>
      <c r="H6">
        <v>2.5</v>
      </c>
      <c r="I6">
        <f t="shared" si="1"/>
        <v>2</v>
      </c>
      <c r="J6" s="1">
        <f t="shared" si="2"/>
        <v>0.23529411764705882</v>
      </c>
    </row>
    <row r="7" spans="1:10" x14ac:dyDescent="0.3">
      <c r="B7">
        <v>2</v>
      </c>
      <c r="C7">
        <v>8.5</v>
      </c>
      <c r="D7">
        <v>7.5</v>
      </c>
      <c r="E7">
        <v>0.5</v>
      </c>
      <c r="F7">
        <f t="shared" si="0"/>
        <v>8</v>
      </c>
      <c r="G7">
        <v>4.5</v>
      </c>
      <c r="H7">
        <v>2.5</v>
      </c>
      <c r="I7">
        <f t="shared" si="1"/>
        <v>2</v>
      </c>
      <c r="J7" s="1">
        <f t="shared" si="2"/>
        <v>0.25</v>
      </c>
    </row>
    <row r="8" spans="1:10" x14ac:dyDescent="0.3">
      <c r="B8">
        <v>3</v>
      </c>
      <c r="C8">
        <v>5.5</v>
      </c>
      <c r="D8">
        <v>5.5</v>
      </c>
      <c r="E8">
        <v>0.25</v>
      </c>
      <c r="F8">
        <f t="shared" si="0"/>
        <v>5.25</v>
      </c>
      <c r="G8">
        <v>4</v>
      </c>
      <c r="H8">
        <v>2.5</v>
      </c>
      <c r="I8">
        <f t="shared" si="1"/>
        <v>1.5</v>
      </c>
      <c r="J8" s="1">
        <f t="shared" si="2"/>
        <v>0.2857142857142857</v>
      </c>
    </row>
    <row r="9" spans="1:10" x14ac:dyDescent="0.3">
      <c r="B9">
        <v>3</v>
      </c>
      <c r="C9">
        <v>6</v>
      </c>
      <c r="D9">
        <v>5.5</v>
      </c>
      <c r="E9">
        <v>0</v>
      </c>
      <c r="F9">
        <f t="shared" si="0"/>
        <v>6</v>
      </c>
      <c r="G9">
        <v>4</v>
      </c>
      <c r="H9">
        <v>2.5</v>
      </c>
      <c r="I9">
        <f t="shared" si="1"/>
        <v>1.5</v>
      </c>
      <c r="J9" s="1">
        <f t="shared" si="2"/>
        <v>0.25</v>
      </c>
    </row>
    <row r="10" spans="1:10" x14ac:dyDescent="0.3">
      <c r="B10">
        <v>4</v>
      </c>
      <c r="C10">
        <v>5.5</v>
      </c>
      <c r="D10">
        <v>5</v>
      </c>
      <c r="E10">
        <v>0</v>
      </c>
      <c r="F10">
        <f t="shared" si="0"/>
        <v>5.5</v>
      </c>
      <c r="G10">
        <v>4</v>
      </c>
      <c r="H10">
        <v>2.75</v>
      </c>
      <c r="I10">
        <f t="shared" si="1"/>
        <v>1.25</v>
      </c>
      <c r="J10" s="1">
        <f t="shared" si="2"/>
        <v>0.22727272727272727</v>
      </c>
    </row>
    <row r="11" spans="1:10" x14ac:dyDescent="0.3">
      <c r="B11">
        <v>4</v>
      </c>
      <c r="C11">
        <v>5.5</v>
      </c>
      <c r="D11">
        <v>5.5</v>
      </c>
      <c r="E11">
        <v>0.5</v>
      </c>
      <c r="F11">
        <f t="shared" si="0"/>
        <v>5</v>
      </c>
      <c r="G11">
        <v>4</v>
      </c>
      <c r="H11">
        <v>2.75</v>
      </c>
      <c r="I11">
        <f t="shared" si="1"/>
        <v>1.25</v>
      </c>
      <c r="J11" s="1">
        <f t="shared" si="2"/>
        <v>0.25</v>
      </c>
    </row>
    <row r="12" spans="1:10" x14ac:dyDescent="0.3">
      <c r="B12">
        <v>5</v>
      </c>
      <c r="C12">
        <v>6.75</v>
      </c>
      <c r="D12">
        <v>6</v>
      </c>
      <c r="E12">
        <v>0.25</v>
      </c>
      <c r="F12">
        <f t="shared" si="0"/>
        <v>6.5</v>
      </c>
      <c r="G12">
        <v>4</v>
      </c>
      <c r="H12">
        <v>2.75</v>
      </c>
      <c r="I12">
        <f t="shared" si="1"/>
        <v>1.25</v>
      </c>
      <c r="J12" s="1">
        <f t="shared" si="2"/>
        <v>0.19230769230769232</v>
      </c>
    </row>
    <row r="13" spans="1:10" x14ac:dyDescent="0.3">
      <c r="B13">
        <v>5</v>
      </c>
      <c r="C13">
        <v>7.25</v>
      </c>
      <c r="D13">
        <v>6.5</v>
      </c>
      <c r="E13">
        <v>0.25</v>
      </c>
      <c r="F13">
        <f t="shared" si="0"/>
        <v>7</v>
      </c>
      <c r="G13">
        <v>4</v>
      </c>
      <c r="H13">
        <v>2.75</v>
      </c>
      <c r="I13">
        <f t="shared" si="1"/>
        <v>1.25</v>
      </c>
      <c r="J13" s="1">
        <f t="shared" si="2"/>
        <v>0.17857142857142858</v>
      </c>
    </row>
    <row r="14" spans="1:10" x14ac:dyDescent="0.3">
      <c r="B14">
        <v>6</v>
      </c>
      <c r="C14">
        <v>7</v>
      </c>
      <c r="D14">
        <v>6</v>
      </c>
      <c r="E14">
        <v>1</v>
      </c>
      <c r="F14">
        <f t="shared" si="0"/>
        <v>6</v>
      </c>
      <c r="G14">
        <v>4.25</v>
      </c>
      <c r="H14">
        <v>2.75</v>
      </c>
      <c r="I14">
        <f t="shared" si="1"/>
        <v>1.5</v>
      </c>
      <c r="J14" s="1">
        <f t="shared" si="2"/>
        <v>0.25</v>
      </c>
    </row>
    <row r="15" spans="1:10" x14ac:dyDescent="0.3">
      <c r="B15">
        <v>6</v>
      </c>
      <c r="C15">
        <v>6</v>
      </c>
      <c r="D15">
        <v>4.5</v>
      </c>
      <c r="E15">
        <v>0.5</v>
      </c>
      <c r="F15">
        <f t="shared" si="0"/>
        <v>5.5</v>
      </c>
      <c r="G15">
        <v>4</v>
      </c>
      <c r="H15">
        <v>2.75</v>
      </c>
      <c r="I15">
        <f t="shared" si="1"/>
        <v>1.25</v>
      </c>
      <c r="J15" s="1">
        <f t="shared" si="2"/>
        <v>0.22727272727272727</v>
      </c>
    </row>
    <row r="16" spans="1:10" x14ac:dyDescent="0.3">
      <c r="B16" s="3" t="s">
        <v>7</v>
      </c>
      <c r="C16" s="25">
        <f>SUM(C4:C15)/12</f>
        <v>6.875</v>
      </c>
      <c r="D16" s="25">
        <f>SUM(D4:D15)/12</f>
        <v>6.166666666666667</v>
      </c>
      <c r="E16" s="25">
        <f>SUM(E4:E15)/12</f>
        <v>0.4375</v>
      </c>
      <c r="F16" s="25">
        <f>SUM(F4:F15)/12</f>
        <v>6.4375</v>
      </c>
      <c r="G16" s="25">
        <f t="shared" ref="G16:J16" si="3">SUM(G4:G15)/12</f>
        <v>4.125</v>
      </c>
      <c r="H16" s="25">
        <f t="shared" si="3"/>
        <v>2.625</v>
      </c>
      <c r="I16" s="62">
        <f t="shared" si="3"/>
        <v>1.5</v>
      </c>
      <c r="J16" s="2">
        <f t="shared" si="3"/>
        <v>0.23421129524070697</v>
      </c>
    </row>
    <row r="17" spans="1:11" x14ac:dyDescent="0.3">
      <c r="C17" s="13">
        <f>CONVERT(C16,"in","m")</f>
        <v>0.174625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27">
        <v>36</v>
      </c>
      <c r="C20" s="29">
        <f>CONVERT(B20, "mm","in")</f>
        <v>1.4173228346456692</v>
      </c>
      <c r="D20" s="5"/>
      <c r="E20" s="5"/>
    </row>
    <row r="21" spans="1:11" x14ac:dyDescent="0.3">
      <c r="A21" s="27" t="s">
        <v>18</v>
      </c>
      <c r="B21" s="27">
        <v>34</v>
      </c>
      <c r="C21" s="29">
        <f>CONVERT(B21, "mm","in")</f>
        <v>1.3385826771653544</v>
      </c>
      <c r="D21" s="5"/>
      <c r="E21" s="5"/>
    </row>
    <row r="22" spans="1:11" ht="15" thickBot="1" x14ac:dyDescent="0.35">
      <c r="A22" s="27" t="s">
        <v>39</v>
      </c>
      <c r="B22" s="27">
        <f>AVERAGE(B20:B21)</f>
        <v>35</v>
      </c>
      <c r="C22" s="49">
        <f>AVERAGE(C20:C21)</f>
        <v>1.3779527559055118</v>
      </c>
      <c r="D22" s="5"/>
      <c r="E22" s="5"/>
    </row>
    <row r="23" spans="1:11" ht="36.6" customHeight="1" x14ac:dyDescent="0.3">
      <c r="A23" s="50" t="s">
        <v>14</v>
      </c>
      <c r="B23" s="56">
        <f>I16-((C20+C21)/2)</f>
        <v>0.12204724409448819</v>
      </c>
      <c r="C23" s="51" t="s">
        <v>25</v>
      </c>
      <c r="D23" s="52"/>
      <c r="E23" s="52" t="s">
        <v>15</v>
      </c>
      <c r="F23" s="53">
        <f>C20/I16</f>
        <v>0.94488188976377951</v>
      </c>
      <c r="J23" t="s">
        <v>7</v>
      </c>
      <c r="K23" s="13">
        <f>AVERAGE(I4:I13)</f>
        <v>1.5249999999999999</v>
      </c>
    </row>
    <row r="24" spans="1:11" ht="15" thickBot="1" x14ac:dyDescent="0.35">
      <c r="A24" s="10"/>
      <c r="B24" s="57">
        <f>CONVERT(B23,"in","mm")</f>
        <v>3.1</v>
      </c>
      <c r="C24" s="11" t="s">
        <v>26</v>
      </c>
      <c r="D24" s="54"/>
      <c r="E24" s="54" t="s">
        <v>53</v>
      </c>
      <c r="F24" s="55">
        <f>(C22-I16)/I16</f>
        <v>-8.1364829396325458E-2</v>
      </c>
      <c r="J24" t="s">
        <v>20</v>
      </c>
      <c r="K24" s="13">
        <f>STDEVA(I4:I13)</f>
        <v>0.29930474993446593</v>
      </c>
    </row>
    <row r="25" spans="1:11" ht="15" thickBot="1" x14ac:dyDescent="0.35">
      <c r="J25" t="s">
        <v>21</v>
      </c>
      <c r="K25" s="13">
        <f>VARA(I4:I13)</f>
        <v>8.9583333333333182E-2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v>0.16700000000000001</v>
      </c>
      <c r="C27" s="19">
        <f>CONVERT(B27,"m","in")</f>
        <v>6.5748031496062991</v>
      </c>
      <c r="D27" s="35">
        <f>C16-C27</f>
        <v>0.30019685039370092</v>
      </c>
    </row>
    <row r="28" spans="1:11" x14ac:dyDescent="0.3">
      <c r="A28" s="36" t="s">
        <v>50</v>
      </c>
      <c r="C28">
        <v>6.3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/>
  </sheetPr>
  <dimension ref="A1:K31"/>
  <sheetViews>
    <sheetView workbookViewId="0">
      <selection activeCell="I17" sqref="I17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72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x14ac:dyDescent="0.3">
      <c r="A2" s="37"/>
      <c r="J2" s="1"/>
    </row>
    <row r="3" spans="1:10" x14ac:dyDescent="0.3">
      <c r="J3" s="1"/>
    </row>
    <row r="4" spans="1:10" x14ac:dyDescent="0.3">
      <c r="B4">
        <v>1</v>
      </c>
      <c r="C4">
        <v>15.5</v>
      </c>
      <c r="D4">
        <v>15.5</v>
      </c>
      <c r="E4">
        <v>0.5</v>
      </c>
      <c r="F4">
        <f>C4-E4</f>
        <v>15</v>
      </c>
      <c r="G4">
        <v>6.5</v>
      </c>
      <c r="H4">
        <v>2.5</v>
      </c>
      <c r="I4">
        <f>G4-H4</f>
        <v>4</v>
      </c>
      <c r="J4" s="1">
        <f>I4/F4</f>
        <v>0.26666666666666666</v>
      </c>
    </row>
    <row r="5" spans="1:10" x14ac:dyDescent="0.3">
      <c r="B5">
        <v>1</v>
      </c>
      <c r="C5">
        <v>15.5</v>
      </c>
      <c r="D5">
        <v>15</v>
      </c>
      <c r="E5">
        <v>0</v>
      </c>
      <c r="F5">
        <f t="shared" ref="F5:F15" si="0">C5-E5</f>
        <v>15.5</v>
      </c>
      <c r="G5">
        <v>6.5</v>
      </c>
      <c r="H5">
        <v>2.5</v>
      </c>
      <c r="I5">
        <f t="shared" ref="I5:I15" si="1">G5-H5</f>
        <v>4</v>
      </c>
      <c r="J5" s="1">
        <f t="shared" ref="J5:J15" si="2">I5/F5</f>
        <v>0.25806451612903225</v>
      </c>
    </row>
    <row r="6" spans="1:10" x14ac:dyDescent="0.3">
      <c r="B6">
        <v>2</v>
      </c>
      <c r="C6">
        <v>17.5</v>
      </c>
      <c r="D6">
        <v>16.5</v>
      </c>
      <c r="E6">
        <v>1</v>
      </c>
      <c r="F6">
        <f t="shared" si="0"/>
        <v>16.5</v>
      </c>
      <c r="G6">
        <v>7</v>
      </c>
      <c r="H6">
        <v>2.5</v>
      </c>
      <c r="I6">
        <f t="shared" si="1"/>
        <v>4.5</v>
      </c>
      <c r="J6" s="1">
        <f t="shared" si="2"/>
        <v>0.27272727272727271</v>
      </c>
    </row>
    <row r="7" spans="1:10" x14ac:dyDescent="0.3">
      <c r="B7">
        <v>2</v>
      </c>
      <c r="C7">
        <v>17</v>
      </c>
      <c r="D7">
        <v>14.5</v>
      </c>
      <c r="E7">
        <v>0.5</v>
      </c>
      <c r="F7">
        <f t="shared" si="0"/>
        <v>16.5</v>
      </c>
      <c r="G7">
        <v>6.5</v>
      </c>
      <c r="H7">
        <v>2.5</v>
      </c>
      <c r="I7">
        <f t="shared" si="1"/>
        <v>4</v>
      </c>
      <c r="J7" s="1">
        <f t="shared" si="2"/>
        <v>0.24242424242424243</v>
      </c>
    </row>
    <row r="8" spans="1:10" x14ac:dyDescent="0.3">
      <c r="B8">
        <v>3</v>
      </c>
      <c r="C8">
        <v>16</v>
      </c>
      <c r="D8">
        <v>14</v>
      </c>
      <c r="E8">
        <v>0.5</v>
      </c>
      <c r="F8">
        <f t="shared" si="0"/>
        <v>15.5</v>
      </c>
      <c r="G8">
        <v>6</v>
      </c>
      <c r="H8">
        <v>2.5</v>
      </c>
      <c r="I8">
        <f t="shared" si="1"/>
        <v>3.5</v>
      </c>
      <c r="J8" s="1">
        <f t="shared" si="2"/>
        <v>0.22580645161290322</v>
      </c>
    </row>
    <row r="9" spans="1:10" x14ac:dyDescent="0.3">
      <c r="B9">
        <v>3</v>
      </c>
      <c r="C9">
        <v>15.5</v>
      </c>
      <c r="D9">
        <v>14</v>
      </c>
      <c r="E9">
        <v>0.5</v>
      </c>
      <c r="F9">
        <f t="shared" si="0"/>
        <v>15</v>
      </c>
      <c r="G9">
        <v>6</v>
      </c>
      <c r="H9">
        <v>2.5</v>
      </c>
      <c r="I9">
        <f t="shared" si="1"/>
        <v>3.5</v>
      </c>
      <c r="J9" s="1">
        <f t="shared" si="2"/>
        <v>0.23333333333333334</v>
      </c>
    </row>
    <row r="10" spans="1:10" x14ac:dyDescent="0.3">
      <c r="B10">
        <v>4</v>
      </c>
      <c r="C10">
        <v>16</v>
      </c>
      <c r="D10">
        <v>14</v>
      </c>
      <c r="E10">
        <v>0</v>
      </c>
      <c r="F10">
        <f t="shared" si="0"/>
        <v>16</v>
      </c>
      <c r="G10">
        <v>6</v>
      </c>
      <c r="H10">
        <v>2.5</v>
      </c>
      <c r="I10">
        <f t="shared" si="1"/>
        <v>3.5</v>
      </c>
      <c r="J10" s="1">
        <f t="shared" si="2"/>
        <v>0.21875</v>
      </c>
    </row>
    <row r="11" spans="1:10" x14ac:dyDescent="0.3">
      <c r="B11">
        <v>4</v>
      </c>
      <c r="C11">
        <v>17</v>
      </c>
      <c r="D11">
        <v>15</v>
      </c>
      <c r="E11">
        <v>0</v>
      </c>
      <c r="F11">
        <f t="shared" si="0"/>
        <v>17</v>
      </c>
      <c r="G11">
        <v>6.5</v>
      </c>
      <c r="H11">
        <v>2.5</v>
      </c>
      <c r="I11">
        <f t="shared" si="1"/>
        <v>4</v>
      </c>
      <c r="J11" s="1">
        <f t="shared" si="2"/>
        <v>0.23529411764705882</v>
      </c>
    </row>
    <row r="12" spans="1:10" x14ac:dyDescent="0.3">
      <c r="B12">
        <v>5</v>
      </c>
      <c r="C12">
        <v>15</v>
      </c>
      <c r="D12">
        <v>12</v>
      </c>
      <c r="E12">
        <v>1</v>
      </c>
      <c r="F12">
        <f t="shared" si="0"/>
        <v>14</v>
      </c>
      <c r="G12">
        <v>5.5</v>
      </c>
      <c r="H12">
        <v>2.5</v>
      </c>
      <c r="I12">
        <f t="shared" si="1"/>
        <v>3</v>
      </c>
      <c r="J12" s="1">
        <f t="shared" si="2"/>
        <v>0.21428571428571427</v>
      </c>
    </row>
    <row r="13" spans="1:10" x14ac:dyDescent="0.3">
      <c r="B13">
        <v>5</v>
      </c>
      <c r="C13">
        <v>15</v>
      </c>
      <c r="D13">
        <v>14</v>
      </c>
      <c r="E13">
        <v>0</v>
      </c>
      <c r="F13">
        <f t="shared" si="0"/>
        <v>15</v>
      </c>
      <c r="G13">
        <v>6</v>
      </c>
      <c r="H13">
        <v>2.5</v>
      </c>
      <c r="I13">
        <f t="shared" si="1"/>
        <v>3.5</v>
      </c>
      <c r="J13" s="1">
        <f t="shared" si="2"/>
        <v>0.23333333333333334</v>
      </c>
    </row>
    <row r="14" spans="1:10" x14ac:dyDescent="0.3">
      <c r="B14">
        <v>6</v>
      </c>
      <c r="C14">
        <v>16</v>
      </c>
      <c r="D14">
        <v>16</v>
      </c>
      <c r="E14">
        <v>0.5</v>
      </c>
      <c r="F14">
        <f t="shared" si="0"/>
        <v>15.5</v>
      </c>
      <c r="G14">
        <v>6</v>
      </c>
      <c r="H14">
        <v>2.5</v>
      </c>
      <c r="I14">
        <f t="shared" si="1"/>
        <v>3.5</v>
      </c>
      <c r="J14" s="1">
        <f t="shared" si="2"/>
        <v>0.22580645161290322</v>
      </c>
    </row>
    <row r="15" spans="1:10" x14ac:dyDescent="0.3">
      <c r="B15">
        <v>6</v>
      </c>
      <c r="C15">
        <v>15.5</v>
      </c>
      <c r="D15">
        <v>15</v>
      </c>
      <c r="E15">
        <v>0.5</v>
      </c>
      <c r="F15">
        <f t="shared" si="0"/>
        <v>15</v>
      </c>
      <c r="G15">
        <v>6</v>
      </c>
      <c r="H15">
        <v>2.5</v>
      </c>
      <c r="I15">
        <f t="shared" si="1"/>
        <v>3.5</v>
      </c>
      <c r="J15" s="1">
        <f t="shared" si="2"/>
        <v>0.23333333333333334</v>
      </c>
    </row>
    <row r="16" spans="1:10" x14ac:dyDescent="0.3">
      <c r="B16" s="3" t="s">
        <v>7</v>
      </c>
      <c r="C16" s="25">
        <f>SUM(C4:C15)/12</f>
        <v>15.958333333333334</v>
      </c>
      <c r="D16" s="25">
        <f>SUM(D4:D15)/12</f>
        <v>14.625</v>
      </c>
      <c r="E16" s="25">
        <f>SUM(E4:E15)/12</f>
        <v>0.41666666666666669</v>
      </c>
      <c r="F16" s="25">
        <f>SUM(F4:F15)/12</f>
        <v>15.541666666666666</v>
      </c>
      <c r="G16" s="25">
        <f t="shared" ref="G16:J16" si="3">SUM(G4:G15)/12</f>
        <v>6.208333333333333</v>
      </c>
      <c r="H16" s="25">
        <f t="shared" si="3"/>
        <v>2.5</v>
      </c>
      <c r="I16" s="62">
        <f>SUM(I4:I15)/12</f>
        <v>3.7083333333333335</v>
      </c>
      <c r="J16" s="2">
        <f t="shared" si="3"/>
        <v>0.23831878609214949</v>
      </c>
    </row>
    <row r="17" spans="1:11" x14ac:dyDescent="0.3">
      <c r="C17" s="13">
        <f>CONVERT(C16,"in","m")</f>
        <v>0.40534166666666671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27">
        <v>90</v>
      </c>
      <c r="C20" s="29">
        <f>CONVERT(B20, "mm","in")</f>
        <v>3.5433070866141736</v>
      </c>
      <c r="D20" s="5"/>
      <c r="E20" s="5"/>
    </row>
    <row r="21" spans="1:11" x14ac:dyDescent="0.3">
      <c r="A21" s="27" t="s">
        <v>18</v>
      </c>
      <c r="B21" s="27">
        <v>84</v>
      </c>
      <c r="C21" s="29">
        <f>CONVERT(B21, "mm","in")</f>
        <v>3.3070866141732287</v>
      </c>
      <c r="D21" s="5"/>
      <c r="E21" s="5"/>
    </row>
    <row r="22" spans="1:11" ht="15" thickBot="1" x14ac:dyDescent="0.35">
      <c r="A22" s="27" t="s">
        <v>39</v>
      </c>
      <c r="B22" s="27">
        <f>AVERAGE(B20:B21)</f>
        <v>87</v>
      </c>
      <c r="C22" s="49">
        <f>AVERAGE(C20:C21)</f>
        <v>3.4251968503937009</v>
      </c>
      <c r="D22" s="5"/>
      <c r="E22" s="5"/>
    </row>
    <row r="23" spans="1:11" ht="36.6" customHeight="1" x14ac:dyDescent="0.3">
      <c r="A23" s="50" t="s">
        <v>14</v>
      </c>
      <c r="B23" s="56">
        <f>I16-((C20+C21)/2)</f>
        <v>0.28313648293963256</v>
      </c>
      <c r="C23" s="51" t="s">
        <v>25</v>
      </c>
      <c r="D23" s="52"/>
      <c r="E23" s="52" t="s">
        <v>15</v>
      </c>
      <c r="F23" s="53">
        <f>C20/I16</f>
        <v>0.95549854021056357</v>
      </c>
      <c r="J23" t="s">
        <v>7</v>
      </c>
      <c r="K23" s="13">
        <f>AVERAGE(I4:I13)</f>
        <v>3.75</v>
      </c>
    </row>
    <row r="24" spans="1:11" ht="15" thickBot="1" x14ac:dyDescent="0.35">
      <c r="A24" s="10"/>
      <c r="B24" s="57">
        <f>CONVERT(B23,"in","mm")</f>
        <v>7.1916666666666673</v>
      </c>
      <c r="C24" s="11" t="s">
        <v>26</v>
      </c>
      <c r="D24" s="54"/>
      <c r="E24" s="54" t="s">
        <v>53</v>
      </c>
      <c r="F24" s="55">
        <f>(C22-I16)/I16</f>
        <v>-7.6351411129788549E-2</v>
      </c>
      <c r="J24" t="s">
        <v>20</v>
      </c>
      <c r="K24" s="13">
        <f>STDEVA(I4:I13)</f>
        <v>0.42491829279939874</v>
      </c>
    </row>
    <row r="25" spans="1:11" ht="15" thickBot="1" x14ac:dyDescent="0.35">
      <c r="J25" t="s">
        <v>21</v>
      </c>
      <c r="K25" s="13">
        <f>VARA(I4:I13)</f>
        <v>0.18055555555555555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v>0.33</v>
      </c>
      <c r="C27" s="19">
        <f>CONVERT(B27,"m","in")</f>
        <v>12.992125984251969</v>
      </c>
      <c r="D27" s="35">
        <f>F16-C27</f>
        <v>2.5495406824146976</v>
      </c>
    </row>
    <row r="28" spans="1:11" x14ac:dyDescent="0.3">
      <c r="A28" s="36" t="s">
        <v>50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/>
  </sheetPr>
  <dimension ref="A1:K31"/>
  <sheetViews>
    <sheetView topLeftCell="A4" workbookViewId="0">
      <selection activeCell="D27" sqref="D27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74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x14ac:dyDescent="0.3">
      <c r="A2" s="37"/>
      <c r="J2" s="1"/>
    </row>
    <row r="3" spans="1:10" x14ac:dyDescent="0.3">
      <c r="J3" s="1"/>
    </row>
    <row r="4" spans="1:10" x14ac:dyDescent="0.3">
      <c r="B4">
        <v>1</v>
      </c>
      <c r="C4">
        <v>28</v>
      </c>
      <c r="D4">
        <v>24.5</v>
      </c>
      <c r="E4">
        <v>0</v>
      </c>
      <c r="F4">
        <f>C4-E4</f>
        <v>28</v>
      </c>
      <c r="G4">
        <v>10.5</v>
      </c>
      <c r="H4">
        <v>2.5</v>
      </c>
      <c r="I4">
        <f>G4-H4</f>
        <v>8</v>
      </c>
      <c r="J4" s="1">
        <f>I4/F4</f>
        <v>0.2857142857142857</v>
      </c>
    </row>
    <row r="5" spans="1:10" x14ac:dyDescent="0.3">
      <c r="B5">
        <v>1</v>
      </c>
      <c r="C5">
        <v>28</v>
      </c>
      <c r="D5">
        <v>26.5</v>
      </c>
      <c r="E5">
        <v>0.5</v>
      </c>
      <c r="F5">
        <f t="shared" ref="F5:F15" si="0">C5-E5</f>
        <v>27.5</v>
      </c>
      <c r="G5">
        <v>10.5</v>
      </c>
      <c r="H5">
        <v>2.5</v>
      </c>
      <c r="I5">
        <f t="shared" ref="I5:I15" si="1">G5-H5</f>
        <v>8</v>
      </c>
      <c r="J5" s="1">
        <f t="shared" ref="J5:J15" si="2">I5/F5</f>
        <v>0.29090909090909089</v>
      </c>
    </row>
    <row r="6" spans="1:10" x14ac:dyDescent="0.3">
      <c r="B6">
        <v>2</v>
      </c>
      <c r="C6">
        <v>28</v>
      </c>
      <c r="D6">
        <v>25.5</v>
      </c>
      <c r="E6">
        <v>0</v>
      </c>
      <c r="F6">
        <f t="shared" si="0"/>
        <v>28</v>
      </c>
      <c r="G6">
        <v>10.5</v>
      </c>
      <c r="H6">
        <v>2.5</v>
      </c>
      <c r="I6">
        <f t="shared" si="1"/>
        <v>8</v>
      </c>
      <c r="J6" s="1">
        <f t="shared" si="2"/>
        <v>0.2857142857142857</v>
      </c>
    </row>
    <row r="7" spans="1:10" x14ac:dyDescent="0.3">
      <c r="B7">
        <v>2</v>
      </c>
      <c r="C7">
        <v>29</v>
      </c>
      <c r="D7">
        <v>27.5</v>
      </c>
      <c r="E7">
        <v>0.5</v>
      </c>
      <c r="F7">
        <f t="shared" si="0"/>
        <v>28.5</v>
      </c>
      <c r="G7">
        <v>10.5</v>
      </c>
      <c r="H7">
        <v>2.5</v>
      </c>
      <c r="I7">
        <f t="shared" si="1"/>
        <v>8</v>
      </c>
      <c r="J7" s="1">
        <f t="shared" si="2"/>
        <v>0.2807017543859649</v>
      </c>
    </row>
    <row r="8" spans="1:10" x14ac:dyDescent="0.3">
      <c r="B8">
        <v>3</v>
      </c>
      <c r="C8">
        <v>25.5</v>
      </c>
      <c r="D8">
        <v>24</v>
      </c>
      <c r="E8">
        <v>0.5</v>
      </c>
      <c r="F8">
        <f t="shared" si="0"/>
        <v>25</v>
      </c>
      <c r="G8">
        <v>10</v>
      </c>
      <c r="H8">
        <v>2.5</v>
      </c>
      <c r="I8">
        <f t="shared" si="1"/>
        <v>7.5</v>
      </c>
      <c r="J8" s="1">
        <f t="shared" si="2"/>
        <v>0.3</v>
      </c>
    </row>
    <row r="9" spans="1:10" x14ac:dyDescent="0.3">
      <c r="B9">
        <v>3</v>
      </c>
      <c r="C9">
        <v>26.5</v>
      </c>
      <c r="D9">
        <v>25</v>
      </c>
      <c r="E9">
        <v>1</v>
      </c>
      <c r="F9">
        <f t="shared" si="0"/>
        <v>25.5</v>
      </c>
      <c r="G9">
        <v>10</v>
      </c>
      <c r="H9">
        <v>2.5</v>
      </c>
      <c r="I9">
        <f t="shared" si="1"/>
        <v>7.5</v>
      </c>
      <c r="J9" s="1">
        <f t="shared" si="2"/>
        <v>0.29411764705882354</v>
      </c>
    </row>
    <row r="10" spans="1:10" x14ac:dyDescent="0.3">
      <c r="B10">
        <v>4</v>
      </c>
      <c r="C10">
        <v>26</v>
      </c>
      <c r="D10">
        <v>24.5</v>
      </c>
      <c r="E10">
        <v>0</v>
      </c>
      <c r="F10">
        <f t="shared" si="0"/>
        <v>26</v>
      </c>
      <c r="G10">
        <v>10</v>
      </c>
      <c r="H10">
        <v>2.5</v>
      </c>
      <c r="I10">
        <f t="shared" si="1"/>
        <v>7.5</v>
      </c>
      <c r="J10" s="1">
        <f t="shared" si="2"/>
        <v>0.28846153846153844</v>
      </c>
    </row>
    <row r="11" spans="1:10" x14ac:dyDescent="0.3">
      <c r="B11">
        <v>4</v>
      </c>
      <c r="C11">
        <v>27</v>
      </c>
      <c r="D11">
        <v>26</v>
      </c>
      <c r="E11">
        <v>1</v>
      </c>
      <c r="F11">
        <f t="shared" si="0"/>
        <v>26</v>
      </c>
      <c r="G11">
        <v>10</v>
      </c>
      <c r="H11">
        <v>2.5</v>
      </c>
      <c r="I11">
        <f t="shared" si="1"/>
        <v>7.5</v>
      </c>
      <c r="J11" s="1">
        <f t="shared" si="2"/>
        <v>0.28846153846153844</v>
      </c>
    </row>
    <row r="12" spans="1:10" x14ac:dyDescent="0.3">
      <c r="B12">
        <v>5</v>
      </c>
      <c r="C12">
        <v>28</v>
      </c>
      <c r="D12">
        <v>25</v>
      </c>
      <c r="E12">
        <v>0</v>
      </c>
      <c r="F12">
        <f t="shared" si="0"/>
        <v>28</v>
      </c>
      <c r="G12">
        <v>10</v>
      </c>
      <c r="H12">
        <v>2.5</v>
      </c>
      <c r="I12">
        <f t="shared" si="1"/>
        <v>7.5</v>
      </c>
      <c r="J12" s="1">
        <f t="shared" si="2"/>
        <v>0.26785714285714285</v>
      </c>
    </row>
    <row r="13" spans="1:10" x14ac:dyDescent="0.3">
      <c r="B13">
        <v>5</v>
      </c>
      <c r="C13">
        <v>27.5</v>
      </c>
      <c r="D13">
        <v>25.5</v>
      </c>
      <c r="E13">
        <v>0.5</v>
      </c>
      <c r="F13">
        <f t="shared" si="0"/>
        <v>27</v>
      </c>
      <c r="G13">
        <v>9.5</v>
      </c>
      <c r="H13">
        <v>2.5</v>
      </c>
      <c r="I13">
        <f t="shared" si="1"/>
        <v>7</v>
      </c>
      <c r="J13" s="1">
        <f t="shared" si="2"/>
        <v>0.25925925925925924</v>
      </c>
    </row>
    <row r="14" spans="1:10" x14ac:dyDescent="0.3">
      <c r="B14">
        <v>6</v>
      </c>
      <c r="C14">
        <v>25.5</v>
      </c>
      <c r="D14">
        <v>24.5</v>
      </c>
      <c r="E14">
        <v>0</v>
      </c>
      <c r="F14">
        <f t="shared" si="0"/>
        <v>25.5</v>
      </c>
      <c r="G14">
        <v>9.5</v>
      </c>
      <c r="H14">
        <v>2.5</v>
      </c>
      <c r="I14">
        <f t="shared" si="1"/>
        <v>7</v>
      </c>
      <c r="J14" s="1">
        <f t="shared" si="2"/>
        <v>0.27450980392156865</v>
      </c>
    </row>
    <row r="15" spans="1:10" x14ac:dyDescent="0.3">
      <c r="B15">
        <v>6</v>
      </c>
      <c r="C15">
        <v>27.5</v>
      </c>
      <c r="D15">
        <v>26</v>
      </c>
      <c r="E15">
        <v>1</v>
      </c>
      <c r="F15">
        <f t="shared" si="0"/>
        <v>26.5</v>
      </c>
      <c r="G15">
        <v>10</v>
      </c>
      <c r="H15">
        <v>2.5</v>
      </c>
      <c r="I15">
        <f t="shared" si="1"/>
        <v>7.5</v>
      </c>
      <c r="J15" s="1">
        <f t="shared" si="2"/>
        <v>0.28301886792452829</v>
      </c>
    </row>
    <row r="16" spans="1:10" x14ac:dyDescent="0.3">
      <c r="B16" s="3" t="s">
        <v>7</v>
      </c>
      <c r="C16" s="25">
        <f>SUM(C4:C15)/12</f>
        <v>27.208333333333332</v>
      </c>
      <c r="D16" s="25">
        <f>SUM(D4:D15)/12</f>
        <v>25.375</v>
      </c>
      <c r="E16" s="25">
        <f>SUM(E4:E15)/12</f>
        <v>0.41666666666666669</v>
      </c>
      <c r="F16" s="25">
        <f>SUM(F4:F15)/12</f>
        <v>26.791666666666668</v>
      </c>
      <c r="G16" s="25">
        <f t="shared" ref="G16:J16" si="3">SUM(G4:G15)/12</f>
        <v>10.083333333333334</v>
      </c>
      <c r="H16" s="25">
        <f t="shared" si="3"/>
        <v>2.5</v>
      </c>
      <c r="I16" s="62">
        <f t="shared" si="3"/>
        <v>7.583333333333333</v>
      </c>
      <c r="J16" s="2">
        <f t="shared" si="3"/>
        <v>0.28322710122233552</v>
      </c>
    </row>
    <row r="17" spans="1:11" x14ac:dyDescent="0.3">
      <c r="C17" s="13">
        <f>CONVERT(C16,"in","m")</f>
        <v>0.69109166666666655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27">
        <v>179</v>
      </c>
      <c r="C20" s="29">
        <f>CONVERT(B20, "mm","in")</f>
        <v>7.0472440944881889</v>
      </c>
      <c r="D20" s="5"/>
      <c r="E20" s="5"/>
    </row>
    <row r="21" spans="1:11" x14ac:dyDescent="0.3">
      <c r="A21" s="27" t="s">
        <v>18</v>
      </c>
      <c r="B21" s="27">
        <v>171</v>
      </c>
      <c r="C21" s="29">
        <f>CONVERT(B21, "mm","in")</f>
        <v>6.7322834645669296</v>
      </c>
      <c r="D21" s="5"/>
      <c r="E21" s="5"/>
    </row>
    <row r="22" spans="1:11" ht="15" thickBot="1" x14ac:dyDescent="0.35">
      <c r="A22" s="27" t="s">
        <v>39</v>
      </c>
      <c r="B22" s="27">
        <f>AVERAGE(B20:B21)</f>
        <v>175</v>
      </c>
      <c r="C22" s="49">
        <f>AVERAGE(C20:C21)</f>
        <v>6.8897637795275593</v>
      </c>
      <c r="D22" s="5"/>
      <c r="E22" s="5"/>
    </row>
    <row r="23" spans="1:11" ht="36.6" customHeight="1" x14ac:dyDescent="0.3">
      <c r="A23" s="50" t="s">
        <v>14</v>
      </c>
      <c r="B23" s="56">
        <f>I16-((C20+C21)/2)</f>
        <v>0.69356955380577379</v>
      </c>
      <c r="C23" s="51" t="s">
        <v>25</v>
      </c>
      <c r="D23" s="52"/>
      <c r="E23" s="52" t="s">
        <v>15</v>
      </c>
      <c r="F23" s="53">
        <f>C20/I16</f>
        <v>0.92930691355888206</v>
      </c>
      <c r="J23" t="s">
        <v>7</v>
      </c>
      <c r="K23" s="13">
        <f>AVERAGE(I4:I15)</f>
        <v>7.583333333333333</v>
      </c>
    </row>
    <row r="24" spans="1:11" ht="15" thickBot="1" x14ac:dyDescent="0.35">
      <c r="A24" s="10"/>
      <c r="B24" s="57">
        <f>CONVERT(B23,"in","mm")</f>
        <v>17.616666666666656</v>
      </c>
      <c r="C24" s="11" t="s">
        <v>26</v>
      </c>
      <c r="D24" s="54"/>
      <c r="E24" s="54" t="s">
        <v>53</v>
      </c>
      <c r="F24" s="55">
        <f>(C22-I16)/I16</f>
        <v>-9.1459721380981157E-2</v>
      </c>
      <c r="J24" t="s">
        <v>20</v>
      </c>
      <c r="K24" s="13">
        <f>STDEVA(I4:I15)</f>
        <v>0.35887028128263676</v>
      </c>
    </row>
    <row r="25" spans="1:11" ht="15" thickBot="1" x14ac:dyDescent="0.35">
      <c r="J25" t="s">
        <v>21</v>
      </c>
      <c r="K25" s="13">
        <f>VARA(I4:I15)</f>
        <v>0.12878787878787881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v>0.64200000000000002</v>
      </c>
      <c r="C27" s="19">
        <f>CONVERT(B27,"m","in")</f>
        <v>25.275590551181104</v>
      </c>
      <c r="D27" s="35">
        <f>F16-C27</f>
        <v>1.5160761154855642</v>
      </c>
    </row>
    <row r="28" spans="1:11" x14ac:dyDescent="0.3">
      <c r="A28" s="36" t="s">
        <v>50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/>
  </sheetPr>
  <dimension ref="A1:K31"/>
  <sheetViews>
    <sheetView workbookViewId="0">
      <selection activeCell="F16" sqref="F16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73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x14ac:dyDescent="0.3">
      <c r="A2" s="37"/>
      <c r="J2" s="1"/>
    </row>
    <row r="3" spans="1:10" x14ac:dyDescent="0.3">
      <c r="J3" s="1"/>
    </row>
    <row r="4" spans="1:10" x14ac:dyDescent="0.3">
      <c r="B4">
        <v>1</v>
      </c>
      <c r="C4">
        <v>26.5</v>
      </c>
      <c r="D4">
        <v>24</v>
      </c>
      <c r="E4">
        <v>0.33</v>
      </c>
      <c r="F4">
        <f>C4-E4</f>
        <v>26.17</v>
      </c>
      <c r="G4">
        <v>9.5</v>
      </c>
      <c r="H4">
        <v>2.5</v>
      </c>
      <c r="I4">
        <f>G4-H4</f>
        <v>7</v>
      </c>
      <c r="J4" s="1">
        <f>I4/F4</f>
        <v>0.26748184944593045</v>
      </c>
    </row>
    <row r="5" spans="1:10" x14ac:dyDescent="0.3">
      <c r="B5">
        <v>1</v>
      </c>
      <c r="C5">
        <v>27</v>
      </c>
      <c r="D5">
        <v>24.5</v>
      </c>
      <c r="E5">
        <v>0</v>
      </c>
      <c r="F5">
        <f t="shared" ref="F5:F15" si="0">C5-E5</f>
        <v>27</v>
      </c>
      <c r="G5">
        <v>9.5</v>
      </c>
      <c r="H5">
        <v>2.5</v>
      </c>
      <c r="I5">
        <f t="shared" ref="I5:I15" si="1">G5-H5</f>
        <v>7</v>
      </c>
      <c r="J5" s="1">
        <f t="shared" ref="J5:J15" si="2">I5/F5</f>
        <v>0.25925925925925924</v>
      </c>
    </row>
    <row r="6" spans="1:10" x14ac:dyDescent="0.3">
      <c r="B6">
        <v>2</v>
      </c>
      <c r="C6">
        <v>28</v>
      </c>
      <c r="D6">
        <v>22.5</v>
      </c>
      <c r="E6">
        <v>0.25</v>
      </c>
      <c r="F6">
        <f t="shared" si="0"/>
        <v>27.75</v>
      </c>
      <c r="G6">
        <v>10</v>
      </c>
      <c r="H6">
        <v>2.5</v>
      </c>
      <c r="I6">
        <f t="shared" si="1"/>
        <v>7.5</v>
      </c>
      <c r="J6" s="1">
        <f t="shared" si="2"/>
        <v>0.27027027027027029</v>
      </c>
    </row>
    <row r="7" spans="1:10" x14ac:dyDescent="0.3">
      <c r="B7">
        <v>2</v>
      </c>
      <c r="C7">
        <v>28.5</v>
      </c>
      <c r="D7">
        <v>24.5</v>
      </c>
      <c r="E7">
        <v>0.5</v>
      </c>
      <c r="F7">
        <f t="shared" si="0"/>
        <v>28</v>
      </c>
      <c r="G7">
        <v>10</v>
      </c>
      <c r="H7">
        <v>2.5</v>
      </c>
      <c r="I7">
        <f t="shared" si="1"/>
        <v>7.5</v>
      </c>
      <c r="J7" s="1">
        <f t="shared" si="2"/>
        <v>0.26785714285714285</v>
      </c>
    </row>
    <row r="8" spans="1:10" x14ac:dyDescent="0.3">
      <c r="B8">
        <v>3</v>
      </c>
      <c r="C8">
        <v>24</v>
      </c>
      <c r="D8">
        <v>20.5</v>
      </c>
      <c r="E8">
        <v>0.5</v>
      </c>
      <c r="F8">
        <f t="shared" si="0"/>
        <v>23.5</v>
      </c>
      <c r="G8">
        <v>9.5</v>
      </c>
      <c r="H8">
        <v>2.5</v>
      </c>
      <c r="I8">
        <f t="shared" si="1"/>
        <v>7</v>
      </c>
      <c r="J8" s="1">
        <f t="shared" si="2"/>
        <v>0.2978723404255319</v>
      </c>
    </row>
    <row r="9" spans="1:10" x14ac:dyDescent="0.3">
      <c r="B9">
        <v>3</v>
      </c>
      <c r="C9">
        <v>26</v>
      </c>
      <c r="D9">
        <v>23.5</v>
      </c>
      <c r="E9">
        <v>1</v>
      </c>
      <c r="F9">
        <f t="shared" si="0"/>
        <v>25</v>
      </c>
      <c r="G9">
        <v>9</v>
      </c>
      <c r="H9">
        <v>2.5</v>
      </c>
      <c r="I9">
        <f t="shared" si="1"/>
        <v>6.5</v>
      </c>
      <c r="J9" s="1">
        <f t="shared" si="2"/>
        <v>0.26</v>
      </c>
    </row>
    <row r="10" spans="1:10" x14ac:dyDescent="0.3">
      <c r="B10">
        <v>4</v>
      </c>
      <c r="C10">
        <v>27</v>
      </c>
      <c r="D10">
        <v>26</v>
      </c>
      <c r="E10">
        <v>0.5</v>
      </c>
      <c r="F10">
        <f t="shared" si="0"/>
        <v>26.5</v>
      </c>
      <c r="G10">
        <v>9.5</v>
      </c>
      <c r="H10">
        <v>2.5</v>
      </c>
      <c r="I10">
        <f t="shared" si="1"/>
        <v>7</v>
      </c>
      <c r="J10" s="1">
        <f t="shared" si="2"/>
        <v>0.26415094339622641</v>
      </c>
    </row>
    <row r="11" spans="1:10" x14ac:dyDescent="0.3">
      <c r="B11">
        <v>4</v>
      </c>
      <c r="C11">
        <v>28</v>
      </c>
      <c r="D11">
        <v>25.5</v>
      </c>
      <c r="E11">
        <v>1</v>
      </c>
      <c r="F11">
        <f t="shared" si="0"/>
        <v>27</v>
      </c>
      <c r="G11">
        <v>10</v>
      </c>
      <c r="H11">
        <v>2.5</v>
      </c>
      <c r="I11">
        <f t="shared" si="1"/>
        <v>7.5</v>
      </c>
      <c r="J11" s="1">
        <f t="shared" si="2"/>
        <v>0.27777777777777779</v>
      </c>
    </row>
    <row r="12" spans="1:10" x14ac:dyDescent="0.3">
      <c r="B12">
        <v>5</v>
      </c>
      <c r="C12">
        <v>29.5</v>
      </c>
      <c r="D12">
        <v>25</v>
      </c>
      <c r="E12">
        <v>0</v>
      </c>
      <c r="F12">
        <f t="shared" si="0"/>
        <v>29.5</v>
      </c>
      <c r="G12">
        <v>10</v>
      </c>
      <c r="H12">
        <v>2.5</v>
      </c>
      <c r="I12">
        <f t="shared" si="1"/>
        <v>7.5</v>
      </c>
      <c r="J12" s="1">
        <f t="shared" si="2"/>
        <v>0.25423728813559321</v>
      </c>
    </row>
    <row r="13" spans="1:10" x14ac:dyDescent="0.3">
      <c r="B13">
        <v>5</v>
      </c>
      <c r="C13">
        <v>30</v>
      </c>
      <c r="D13">
        <v>27</v>
      </c>
      <c r="E13">
        <v>0.5</v>
      </c>
      <c r="F13">
        <f t="shared" si="0"/>
        <v>29.5</v>
      </c>
      <c r="G13">
        <v>10</v>
      </c>
      <c r="H13">
        <v>2.5</v>
      </c>
      <c r="I13">
        <f t="shared" si="1"/>
        <v>7.5</v>
      </c>
      <c r="J13" s="1">
        <f t="shared" si="2"/>
        <v>0.25423728813559321</v>
      </c>
    </row>
    <row r="14" spans="1:10" x14ac:dyDescent="0.3">
      <c r="B14">
        <v>6</v>
      </c>
      <c r="C14">
        <v>28</v>
      </c>
      <c r="D14">
        <v>24</v>
      </c>
      <c r="E14">
        <v>0.5</v>
      </c>
      <c r="F14">
        <f t="shared" si="0"/>
        <v>27.5</v>
      </c>
      <c r="G14">
        <v>9.5</v>
      </c>
      <c r="H14">
        <v>2.5</v>
      </c>
      <c r="I14">
        <f t="shared" si="1"/>
        <v>7</v>
      </c>
      <c r="J14" s="1">
        <f t="shared" si="2"/>
        <v>0.25454545454545452</v>
      </c>
    </row>
    <row r="15" spans="1:10" x14ac:dyDescent="0.3">
      <c r="B15">
        <v>6</v>
      </c>
      <c r="C15">
        <v>26.5</v>
      </c>
      <c r="D15">
        <v>23.5</v>
      </c>
      <c r="E15">
        <v>0.5</v>
      </c>
      <c r="F15">
        <f t="shared" si="0"/>
        <v>26</v>
      </c>
      <c r="G15">
        <v>9.5</v>
      </c>
      <c r="H15">
        <v>2.5</v>
      </c>
      <c r="I15">
        <f t="shared" si="1"/>
        <v>7</v>
      </c>
      <c r="J15" s="1">
        <f t="shared" si="2"/>
        <v>0.26923076923076922</v>
      </c>
    </row>
    <row r="16" spans="1:10" x14ac:dyDescent="0.3">
      <c r="B16" s="3" t="s">
        <v>7</v>
      </c>
      <c r="C16" s="25">
        <f>SUM(C4:C15)/12</f>
        <v>27.416666666666668</v>
      </c>
      <c r="D16" s="25">
        <f>SUM(D4:D15)/12</f>
        <v>24.208333333333332</v>
      </c>
      <c r="E16" s="25">
        <f>SUM(E4:E15)/12</f>
        <v>0.46500000000000002</v>
      </c>
      <c r="F16" s="25">
        <f>SUM(F4:F15)/12</f>
        <v>26.951666666666668</v>
      </c>
      <c r="G16" s="25">
        <f t="shared" ref="G16:J16" si="3">SUM(G4:G15)/12</f>
        <v>9.6666666666666661</v>
      </c>
      <c r="H16" s="25">
        <f t="shared" si="3"/>
        <v>2.5</v>
      </c>
      <c r="I16" s="62">
        <f t="shared" si="3"/>
        <v>7.166666666666667</v>
      </c>
      <c r="J16" s="2">
        <f t="shared" si="3"/>
        <v>0.2664100319566291</v>
      </c>
    </row>
    <row r="17" spans="1:11" x14ac:dyDescent="0.3">
      <c r="C17" s="13">
        <f>CONVERT(C16,"in","m")</f>
        <v>0.69638333333333335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27">
        <v>185</v>
      </c>
      <c r="C20" s="29">
        <f>CONVERT(B20, "mm","in")</f>
        <v>7.2834645669291342</v>
      </c>
      <c r="D20" s="5"/>
      <c r="E20" s="5"/>
    </row>
    <row r="21" spans="1:11" x14ac:dyDescent="0.3">
      <c r="A21" s="27" t="s">
        <v>18</v>
      </c>
      <c r="B21" s="27">
        <v>177</v>
      </c>
      <c r="C21" s="29">
        <f>CONVERT(B21, "mm","in")</f>
        <v>6.9685039370078741</v>
      </c>
      <c r="D21" s="5"/>
      <c r="E21" s="5"/>
    </row>
    <row r="22" spans="1:11" ht="15" thickBot="1" x14ac:dyDescent="0.35">
      <c r="A22" s="27" t="s">
        <v>39</v>
      </c>
      <c r="B22" s="27">
        <f>AVERAGE(B20:B21)</f>
        <v>181</v>
      </c>
      <c r="C22" s="49">
        <f>AVERAGE(C20:C21)</f>
        <v>7.1259842519685037</v>
      </c>
      <c r="D22" s="5"/>
      <c r="E22" s="5"/>
    </row>
    <row r="23" spans="1:11" ht="36.6" customHeight="1" x14ac:dyDescent="0.3">
      <c r="A23" s="50" t="s">
        <v>14</v>
      </c>
      <c r="B23" s="56">
        <f>I16-((C20+C21)/2)</f>
        <v>4.068241469816325E-2</v>
      </c>
      <c r="C23" s="51" t="s">
        <v>25</v>
      </c>
      <c r="D23" s="52"/>
      <c r="E23" s="52" t="s">
        <v>15</v>
      </c>
      <c r="F23" s="53">
        <f>C20/I16</f>
        <v>1.0162973814319722</v>
      </c>
      <c r="J23" t="s">
        <v>7</v>
      </c>
      <c r="K23" s="13">
        <f>AVERAGE(I4:I13)</f>
        <v>7.2</v>
      </c>
    </row>
    <row r="24" spans="1:11" ht="15" thickBot="1" x14ac:dyDescent="0.35">
      <c r="A24" s="10"/>
      <c r="B24" s="57">
        <f>CONVERT(B23,"in","mm")</f>
        <v>1.0333333333333465</v>
      </c>
      <c r="C24" s="11" t="s">
        <v>26</v>
      </c>
      <c r="D24" s="54"/>
      <c r="E24" s="54" t="s">
        <v>53</v>
      </c>
      <c r="F24" s="55">
        <f>(C22-I16)/I16</f>
        <v>-5.6766160043948714E-3</v>
      </c>
      <c r="J24" t="s">
        <v>20</v>
      </c>
      <c r="K24" s="13">
        <f>STDEVA(I4:I13)</f>
        <v>0.34960294939005049</v>
      </c>
    </row>
    <row r="25" spans="1:11" ht="15" thickBot="1" x14ac:dyDescent="0.35">
      <c r="J25" t="s">
        <v>21</v>
      </c>
      <c r="K25" s="13">
        <f>VARA(I4:I13)</f>
        <v>0.1222222222222222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v>0.66</v>
      </c>
      <c r="C27" s="19">
        <f>CONVERT(B27,"m","in")</f>
        <v>25.984251968503937</v>
      </c>
      <c r="D27" s="35">
        <f>F16-C27</f>
        <v>0.96741469816273096</v>
      </c>
    </row>
    <row r="28" spans="1:11" x14ac:dyDescent="0.3">
      <c r="A28" s="36" t="s">
        <v>50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/>
  </sheetPr>
  <dimension ref="A1:K31"/>
  <sheetViews>
    <sheetView workbookViewId="0">
      <selection activeCell="I16" sqref="I16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75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x14ac:dyDescent="0.3">
      <c r="A2" s="37"/>
      <c r="J2" s="1"/>
    </row>
    <row r="3" spans="1:10" x14ac:dyDescent="0.3">
      <c r="J3" s="1"/>
    </row>
    <row r="4" spans="1:10" x14ac:dyDescent="0.3">
      <c r="B4">
        <v>1</v>
      </c>
      <c r="C4">
        <v>37.5</v>
      </c>
      <c r="D4">
        <v>32</v>
      </c>
      <c r="E4">
        <v>0.5</v>
      </c>
      <c r="F4">
        <f>C4-E4</f>
        <v>37</v>
      </c>
      <c r="G4">
        <v>12</v>
      </c>
      <c r="H4">
        <v>2.5</v>
      </c>
      <c r="I4">
        <f>G4-H4</f>
        <v>9.5</v>
      </c>
      <c r="J4" s="1">
        <f>I4/F4</f>
        <v>0.25675675675675674</v>
      </c>
    </row>
    <row r="5" spans="1:10" x14ac:dyDescent="0.3">
      <c r="B5">
        <v>1</v>
      </c>
      <c r="C5">
        <v>38</v>
      </c>
      <c r="D5">
        <v>33</v>
      </c>
      <c r="E5">
        <v>0</v>
      </c>
      <c r="F5">
        <f t="shared" ref="F5:F15" si="0">C5-E5</f>
        <v>38</v>
      </c>
      <c r="G5">
        <v>13</v>
      </c>
      <c r="H5">
        <v>2.5</v>
      </c>
      <c r="I5">
        <f t="shared" ref="I5:I15" si="1">G5-H5</f>
        <v>10.5</v>
      </c>
      <c r="J5" s="1">
        <f t="shared" ref="J5:J15" si="2">I5/F5</f>
        <v>0.27631578947368424</v>
      </c>
    </row>
    <row r="6" spans="1:10" x14ac:dyDescent="0.3">
      <c r="B6">
        <v>2</v>
      </c>
      <c r="C6">
        <v>39</v>
      </c>
      <c r="D6">
        <v>32.5</v>
      </c>
      <c r="E6">
        <v>1</v>
      </c>
      <c r="F6">
        <f t="shared" si="0"/>
        <v>38</v>
      </c>
      <c r="G6">
        <v>13</v>
      </c>
      <c r="H6">
        <v>2.5</v>
      </c>
      <c r="I6">
        <f t="shared" si="1"/>
        <v>10.5</v>
      </c>
      <c r="J6" s="1">
        <f t="shared" si="2"/>
        <v>0.27631578947368424</v>
      </c>
    </row>
    <row r="7" spans="1:10" x14ac:dyDescent="0.3">
      <c r="B7">
        <v>2</v>
      </c>
      <c r="C7">
        <v>38</v>
      </c>
      <c r="D7">
        <v>35</v>
      </c>
      <c r="E7">
        <v>1</v>
      </c>
      <c r="F7">
        <f t="shared" si="0"/>
        <v>37</v>
      </c>
      <c r="G7">
        <v>13.5</v>
      </c>
      <c r="H7">
        <v>2.5</v>
      </c>
      <c r="I7">
        <f t="shared" si="1"/>
        <v>11</v>
      </c>
      <c r="J7" s="1">
        <f t="shared" si="2"/>
        <v>0.29729729729729731</v>
      </c>
    </row>
    <row r="8" spans="1:10" x14ac:dyDescent="0.3">
      <c r="B8">
        <v>3</v>
      </c>
      <c r="C8">
        <v>35</v>
      </c>
      <c r="D8">
        <v>30</v>
      </c>
      <c r="E8">
        <v>0</v>
      </c>
      <c r="F8">
        <f t="shared" si="0"/>
        <v>35</v>
      </c>
      <c r="G8">
        <v>12</v>
      </c>
      <c r="H8">
        <v>2.5</v>
      </c>
      <c r="I8">
        <f t="shared" si="1"/>
        <v>9.5</v>
      </c>
      <c r="J8" s="1">
        <f t="shared" si="2"/>
        <v>0.27142857142857141</v>
      </c>
    </row>
    <row r="9" spans="1:10" x14ac:dyDescent="0.3">
      <c r="B9">
        <v>3</v>
      </c>
      <c r="C9">
        <v>37.5</v>
      </c>
      <c r="D9">
        <v>35</v>
      </c>
      <c r="E9">
        <v>1</v>
      </c>
      <c r="F9">
        <f t="shared" si="0"/>
        <v>36.5</v>
      </c>
      <c r="G9">
        <v>13</v>
      </c>
      <c r="H9">
        <v>2.5</v>
      </c>
      <c r="I9">
        <f t="shared" si="1"/>
        <v>10.5</v>
      </c>
      <c r="J9" s="1">
        <f t="shared" si="2"/>
        <v>0.28767123287671231</v>
      </c>
    </row>
    <row r="10" spans="1:10" x14ac:dyDescent="0.3">
      <c r="B10">
        <v>4</v>
      </c>
      <c r="C10">
        <v>37.5</v>
      </c>
      <c r="D10">
        <v>32.5</v>
      </c>
      <c r="E10">
        <v>0</v>
      </c>
      <c r="F10">
        <f t="shared" si="0"/>
        <v>37.5</v>
      </c>
      <c r="G10">
        <v>13.5</v>
      </c>
      <c r="H10">
        <v>2.5</v>
      </c>
      <c r="I10">
        <f t="shared" si="1"/>
        <v>11</v>
      </c>
      <c r="J10" s="1">
        <f t="shared" si="2"/>
        <v>0.29333333333333333</v>
      </c>
    </row>
    <row r="11" spans="1:10" x14ac:dyDescent="0.3">
      <c r="B11">
        <v>4</v>
      </c>
      <c r="C11">
        <v>37.5</v>
      </c>
      <c r="D11">
        <v>33</v>
      </c>
      <c r="E11">
        <v>0</v>
      </c>
      <c r="F11">
        <f t="shared" si="0"/>
        <v>37.5</v>
      </c>
      <c r="G11">
        <v>13</v>
      </c>
      <c r="H11">
        <v>2.5</v>
      </c>
      <c r="I11">
        <f t="shared" si="1"/>
        <v>10.5</v>
      </c>
      <c r="J11" s="1">
        <f t="shared" si="2"/>
        <v>0.28000000000000003</v>
      </c>
    </row>
    <row r="12" spans="1:10" x14ac:dyDescent="0.3">
      <c r="B12">
        <v>5</v>
      </c>
      <c r="C12">
        <v>40.5</v>
      </c>
      <c r="D12">
        <v>35</v>
      </c>
      <c r="E12">
        <v>0</v>
      </c>
      <c r="F12">
        <f t="shared" si="0"/>
        <v>40.5</v>
      </c>
      <c r="G12">
        <v>13.5</v>
      </c>
      <c r="H12">
        <v>2.5</v>
      </c>
      <c r="I12">
        <f t="shared" si="1"/>
        <v>11</v>
      </c>
      <c r="J12" s="1">
        <f t="shared" si="2"/>
        <v>0.27160493827160492</v>
      </c>
    </row>
    <row r="13" spans="1:10" x14ac:dyDescent="0.3">
      <c r="B13">
        <v>5</v>
      </c>
      <c r="C13">
        <v>40</v>
      </c>
      <c r="D13">
        <v>35.5</v>
      </c>
      <c r="E13">
        <v>0</v>
      </c>
      <c r="F13">
        <f t="shared" si="0"/>
        <v>40</v>
      </c>
      <c r="G13">
        <v>13.5</v>
      </c>
      <c r="H13">
        <v>2.5</v>
      </c>
      <c r="I13">
        <f t="shared" si="1"/>
        <v>11</v>
      </c>
      <c r="J13" s="1">
        <f t="shared" si="2"/>
        <v>0.27500000000000002</v>
      </c>
    </row>
    <row r="14" spans="1:10" x14ac:dyDescent="0.3">
      <c r="B14">
        <v>6</v>
      </c>
      <c r="C14">
        <v>36</v>
      </c>
      <c r="D14">
        <v>34.5</v>
      </c>
      <c r="E14">
        <v>0</v>
      </c>
      <c r="F14">
        <f t="shared" si="0"/>
        <v>36</v>
      </c>
      <c r="G14">
        <v>13</v>
      </c>
      <c r="H14">
        <v>2.5</v>
      </c>
      <c r="I14">
        <f t="shared" si="1"/>
        <v>10.5</v>
      </c>
      <c r="J14" s="1">
        <f t="shared" si="2"/>
        <v>0.29166666666666669</v>
      </c>
    </row>
    <row r="15" spans="1:10" x14ac:dyDescent="0.3">
      <c r="B15">
        <v>6</v>
      </c>
      <c r="C15">
        <v>37</v>
      </c>
      <c r="D15">
        <v>31</v>
      </c>
      <c r="E15">
        <v>0</v>
      </c>
      <c r="F15">
        <f t="shared" si="0"/>
        <v>37</v>
      </c>
      <c r="G15">
        <v>13</v>
      </c>
      <c r="H15">
        <v>2.5</v>
      </c>
      <c r="I15">
        <f t="shared" si="1"/>
        <v>10.5</v>
      </c>
      <c r="J15" s="1">
        <f t="shared" si="2"/>
        <v>0.28378378378378377</v>
      </c>
    </row>
    <row r="16" spans="1:10" x14ac:dyDescent="0.3">
      <c r="B16" s="3" t="s">
        <v>7</v>
      </c>
      <c r="C16" s="25">
        <f>SUM(C4:C15)/12</f>
        <v>37.791666666666664</v>
      </c>
      <c r="D16" s="25">
        <f>SUM(D4:D15)/12</f>
        <v>33.25</v>
      </c>
      <c r="E16" s="25">
        <f>SUM(E4:E15)/12</f>
        <v>0.29166666666666669</v>
      </c>
      <c r="F16" s="25">
        <f>SUM(F4:F15)/12</f>
        <v>37.5</v>
      </c>
      <c r="G16" s="25">
        <f t="shared" ref="G16:J16" si="3">SUM(G4:G15)/12</f>
        <v>13</v>
      </c>
      <c r="H16" s="25">
        <f t="shared" si="3"/>
        <v>2.5</v>
      </c>
      <c r="I16" s="62">
        <f t="shared" si="3"/>
        <v>10.5</v>
      </c>
      <c r="J16" s="2">
        <f t="shared" si="3"/>
        <v>0.28009784661350784</v>
      </c>
    </row>
    <row r="17" spans="1:11" x14ac:dyDescent="0.3">
      <c r="C17" s="13">
        <f>CONVERT(C16,"in","m")</f>
        <v>0.95990833333333325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27">
        <f>CONVERT(C20,"in","mm")</f>
        <v>260.60399999999998</v>
      </c>
      <c r="C20" s="29">
        <v>10.26</v>
      </c>
      <c r="D20" s="5"/>
      <c r="E20" s="5"/>
    </row>
    <row r="21" spans="1:11" x14ac:dyDescent="0.3">
      <c r="A21" s="27" t="s">
        <v>18</v>
      </c>
      <c r="B21" s="27">
        <f>CONVERT(C21,"in","mm")</f>
        <v>253.49199999999999</v>
      </c>
      <c r="C21" s="29">
        <v>9.98</v>
      </c>
      <c r="D21" s="5"/>
      <c r="E21" s="5"/>
    </row>
    <row r="22" spans="1:11" ht="15" thickBot="1" x14ac:dyDescent="0.35">
      <c r="A22" s="27" t="s">
        <v>39</v>
      </c>
      <c r="B22" s="27">
        <f>AVERAGE(B20:B21)</f>
        <v>257.048</v>
      </c>
      <c r="C22" s="49">
        <f>AVERAGE(C20:C21)</f>
        <v>10.120000000000001</v>
      </c>
      <c r="D22" s="5"/>
      <c r="E22" s="5"/>
    </row>
    <row r="23" spans="1:11" ht="36.6" customHeight="1" x14ac:dyDescent="0.3">
      <c r="A23" s="50" t="s">
        <v>14</v>
      </c>
      <c r="B23" s="56">
        <f>I16-((C20+C21)/2)</f>
        <v>0.37999999999999901</v>
      </c>
      <c r="C23" s="51" t="s">
        <v>25</v>
      </c>
      <c r="D23" s="52"/>
      <c r="E23" s="52" t="s">
        <v>15</v>
      </c>
      <c r="F23" s="53">
        <f>C20/I16</f>
        <v>0.97714285714285709</v>
      </c>
      <c r="J23" t="s">
        <v>7</v>
      </c>
      <c r="K23" s="13">
        <f>AVERAGE(I4:I13)</f>
        <v>10.5</v>
      </c>
    </row>
    <row r="24" spans="1:11" ht="15" thickBot="1" x14ac:dyDescent="0.35">
      <c r="A24" s="10"/>
      <c r="B24" s="57">
        <f>CONVERT(B23,"in","mm")</f>
        <v>9.6519999999999744</v>
      </c>
      <c r="C24" s="11" t="s">
        <v>26</v>
      </c>
      <c r="D24" s="54"/>
      <c r="E24" s="54" t="s">
        <v>53</v>
      </c>
      <c r="F24" s="55">
        <f>(C22-I16)/I16</f>
        <v>-3.6190476190476092E-2</v>
      </c>
      <c r="J24" t="s">
        <v>20</v>
      </c>
      <c r="K24" s="13">
        <f>STDEVA(I4:I13)</f>
        <v>0.57735026918962573</v>
      </c>
    </row>
    <row r="25" spans="1:11" ht="15" thickBot="1" x14ac:dyDescent="0.35">
      <c r="J25" t="s">
        <v>21</v>
      </c>
      <c r="K25" s="13">
        <f>VARA(I4:I13)</f>
        <v>0.33333333333333331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0.90932000000000002</v>
      </c>
      <c r="C27" s="19">
        <v>35.799999999999997</v>
      </c>
      <c r="D27" s="35">
        <f>F16-C27</f>
        <v>1.7000000000000028</v>
      </c>
    </row>
    <row r="28" spans="1:11" x14ac:dyDescent="0.3">
      <c r="A28" s="36" t="s">
        <v>50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/>
  </sheetPr>
  <dimension ref="A1:K31"/>
  <sheetViews>
    <sheetView workbookViewId="0">
      <selection activeCell="G31" sqref="G31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76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x14ac:dyDescent="0.3">
      <c r="A2" s="37"/>
      <c r="J2" s="1"/>
    </row>
    <row r="3" spans="1:10" x14ac:dyDescent="0.3">
      <c r="J3" s="1"/>
    </row>
    <row r="4" spans="1:10" x14ac:dyDescent="0.3">
      <c r="B4">
        <v>1</v>
      </c>
      <c r="C4">
        <v>37.5</v>
      </c>
      <c r="D4">
        <v>32</v>
      </c>
      <c r="E4">
        <v>0.5</v>
      </c>
      <c r="F4">
        <f>C4-E4</f>
        <v>37</v>
      </c>
      <c r="G4">
        <v>12</v>
      </c>
      <c r="H4">
        <v>2.5</v>
      </c>
      <c r="I4">
        <f>G4-H4</f>
        <v>9.5</v>
      </c>
      <c r="J4" s="1">
        <f>I4/F4</f>
        <v>0.25675675675675674</v>
      </c>
    </row>
    <row r="5" spans="1:10" x14ac:dyDescent="0.3">
      <c r="B5">
        <v>1</v>
      </c>
      <c r="C5">
        <v>38</v>
      </c>
      <c r="D5">
        <v>33</v>
      </c>
      <c r="E5">
        <v>0</v>
      </c>
      <c r="F5">
        <f t="shared" ref="F5:F15" si="0">C5-E5</f>
        <v>38</v>
      </c>
      <c r="G5">
        <v>13</v>
      </c>
      <c r="H5">
        <v>2.5</v>
      </c>
      <c r="I5">
        <f t="shared" ref="I5:I15" si="1">G5-H5</f>
        <v>10.5</v>
      </c>
      <c r="J5" s="1">
        <f t="shared" ref="J5:J15" si="2">I5/F5</f>
        <v>0.27631578947368424</v>
      </c>
    </row>
    <row r="6" spans="1:10" x14ac:dyDescent="0.3">
      <c r="B6">
        <v>2</v>
      </c>
      <c r="C6">
        <v>39</v>
      </c>
      <c r="D6">
        <v>32.5</v>
      </c>
      <c r="E6">
        <v>1</v>
      </c>
      <c r="F6">
        <f t="shared" si="0"/>
        <v>38</v>
      </c>
      <c r="G6">
        <v>13</v>
      </c>
      <c r="H6">
        <v>2.5</v>
      </c>
      <c r="I6">
        <f t="shared" si="1"/>
        <v>10.5</v>
      </c>
      <c r="J6" s="1">
        <f t="shared" si="2"/>
        <v>0.27631578947368424</v>
      </c>
    </row>
    <row r="7" spans="1:10" x14ac:dyDescent="0.3">
      <c r="B7">
        <v>2</v>
      </c>
      <c r="C7">
        <v>38</v>
      </c>
      <c r="D7">
        <v>35</v>
      </c>
      <c r="E7">
        <v>1</v>
      </c>
      <c r="F7">
        <f t="shared" si="0"/>
        <v>37</v>
      </c>
      <c r="G7">
        <v>13.5</v>
      </c>
      <c r="H7">
        <v>2.5</v>
      </c>
      <c r="I7">
        <f t="shared" si="1"/>
        <v>11</v>
      </c>
      <c r="J7" s="1">
        <f t="shared" si="2"/>
        <v>0.29729729729729731</v>
      </c>
    </row>
    <row r="8" spans="1:10" x14ac:dyDescent="0.3">
      <c r="B8">
        <v>3</v>
      </c>
      <c r="C8">
        <v>35</v>
      </c>
      <c r="D8">
        <v>30</v>
      </c>
      <c r="E8">
        <v>0</v>
      </c>
      <c r="F8">
        <f t="shared" si="0"/>
        <v>35</v>
      </c>
      <c r="G8">
        <v>12</v>
      </c>
      <c r="H8">
        <v>2.5</v>
      </c>
      <c r="I8">
        <f t="shared" si="1"/>
        <v>9.5</v>
      </c>
      <c r="J8" s="1">
        <f t="shared" si="2"/>
        <v>0.27142857142857141</v>
      </c>
    </row>
    <row r="9" spans="1:10" x14ac:dyDescent="0.3">
      <c r="B9">
        <v>3</v>
      </c>
      <c r="C9">
        <v>37.5</v>
      </c>
      <c r="D9">
        <v>35</v>
      </c>
      <c r="E9">
        <v>1</v>
      </c>
      <c r="F9">
        <f t="shared" si="0"/>
        <v>36.5</v>
      </c>
      <c r="G9">
        <v>13</v>
      </c>
      <c r="H9">
        <v>2.5</v>
      </c>
      <c r="I9">
        <f t="shared" si="1"/>
        <v>10.5</v>
      </c>
      <c r="J9" s="1">
        <f t="shared" si="2"/>
        <v>0.28767123287671231</v>
      </c>
    </row>
    <row r="10" spans="1:10" x14ac:dyDescent="0.3">
      <c r="B10">
        <v>4</v>
      </c>
      <c r="C10">
        <v>37.5</v>
      </c>
      <c r="D10">
        <v>32.5</v>
      </c>
      <c r="E10">
        <v>0</v>
      </c>
      <c r="F10">
        <f t="shared" si="0"/>
        <v>37.5</v>
      </c>
      <c r="G10">
        <v>13.5</v>
      </c>
      <c r="H10">
        <v>2.5</v>
      </c>
      <c r="I10">
        <f t="shared" si="1"/>
        <v>11</v>
      </c>
      <c r="J10" s="1">
        <f t="shared" si="2"/>
        <v>0.29333333333333333</v>
      </c>
    </row>
    <row r="11" spans="1:10" x14ac:dyDescent="0.3">
      <c r="B11">
        <v>4</v>
      </c>
      <c r="C11">
        <v>37.5</v>
      </c>
      <c r="D11">
        <v>33</v>
      </c>
      <c r="E11">
        <v>0</v>
      </c>
      <c r="F11">
        <f t="shared" si="0"/>
        <v>37.5</v>
      </c>
      <c r="G11">
        <v>13</v>
      </c>
      <c r="H11">
        <v>2.5</v>
      </c>
      <c r="I11">
        <f t="shared" si="1"/>
        <v>10.5</v>
      </c>
      <c r="J11" s="1">
        <f t="shared" si="2"/>
        <v>0.28000000000000003</v>
      </c>
    </row>
    <row r="12" spans="1:10" x14ac:dyDescent="0.3">
      <c r="B12">
        <v>5</v>
      </c>
      <c r="C12">
        <v>40.5</v>
      </c>
      <c r="D12">
        <v>35</v>
      </c>
      <c r="E12">
        <v>0</v>
      </c>
      <c r="F12">
        <f t="shared" si="0"/>
        <v>40.5</v>
      </c>
      <c r="G12">
        <v>13.5</v>
      </c>
      <c r="H12">
        <v>2.5</v>
      </c>
      <c r="I12">
        <f t="shared" si="1"/>
        <v>11</v>
      </c>
      <c r="J12" s="1">
        <f t="shared" si="2"/>
        <v>0.27160493827160492</v>
      </c>
    </row>
    <row r="13" spans="1:10" x14ac:dyDescent="0.3">
      <c r="B13">
        <v>5</v>
      </c>
      <c r="C13">
        <v>40</v>
      </c>
      <c r="D13">
        <v>35.5</v>
      </c>
      <c r="E13">
        <v>0</v>
      </c>
      <c r="F13">
        <f t="shared" si="0"/>
        <v>40</v>
      </c>
      <c r="G13">
        <v>13.5</v>
      </c>
      <c r="H13">
        <v>2.5</v>
      </c>
      <c r="I13">
        <f t="shared" si="1"/>
        <v>11</v>
      </c>
      <c r="J13" s="1">
        <f t="shared" si="2"/>
        <v>0.27500000000000002</v>
      </c>
    </row>
    <row r="14" spans="1:10" x14ac:dyDescent="0.3">
      <c r="B14">
        <v>6</v>
      </c>
      <c r="C14">
        <v>36</v>
      </c>
      <c r="D14">
        <v>34.5</v>
      </c>
      <c r="E14">
        <v>0</v>
      </c>
      <c r="F14">
        <f t="shared" si="0"/>
        <v>36</v>
      </c>
      <c r="G14">
        <v>13</v>
      </c>
      <c r="H14">
        <v>2.5</v>
      </c>
      <c r="I14">
        <f t="shared" si="1"/>
        <v>10.5</v>
      </c>
      <c r="J14" s="1">
        <f t="shared" si="2"/>
        <v>0.29166666666666669</v>
      </c>
    </row>
    <row r="15" spans="1:10" x14ac:dyDescent="0.3">
      <c r="B15">
        <v>6</v>
      </c>
      <c r="C15">
        <v>37</v>
      </c>
      <c r="D15">
        <v>31</v>
      </c>
      <c r="E15">
        <v>0</v>
      </c>
      <c r="F15">
        <f t="shared" si="0"/>
        <v>37</v>
      </c>
      <c r="G15">
        <v>13</v>
      </c>
      <c r="H15">
        <v>2.5</v>
      </c>
      <c r="I15">
        <f t="shared" si="1"/>
        <v>10.5</v>
      </c>
      <c r="J15" s="1">
        <f t="shared" si="2"/>
        <v>0.28378378378378377</v>
      </c>
    </row>
    <row r="16" spans="1:10" x14ac:dyDescent="0.3">
      <c r="B16" s="3" t="s">
        <v>7</v>
      </c>
      <c r="C16" s="25">
        <f>SUM(C4:C15)/12</f>
        <v>37.791666666666664</v>
      </c>
      <c r="D16" s="25">
        <f>SUM(D4:D15)/12</f>
        <v>33.25</v>
      </c>
      <c r="E16" s="25">
        <f>SUM(E4:E15)/12</f>
        <v>0.29166666666666669</v>
      </c>
      <c r="F16" s="25">
        <f>SUM(F4:F15)/12</f>
        <v>37.5</v>
      </c>
      <c r="G16" s="25">
        <f t="shared" ref="G16:J16" si="3">SUM(G4:G15)/12</f>
        <v>13</v>
      </c>
      <c r="H16" s="25">
        <f t="shared" si="3"/>
        <v>2.5</v>
      </c>
      <c r="I16" s="62">
        <f t="shared" si="3"/>
        <v>10.5</v>
      </c>
      <c r="J16" s="2">
        <f t="shared" si="3"/>
        <v>0.28009784661350784</v>
      </c>
    </row>
    <row r="17" spans="1:11" x14ac:dyDescent="0.3">
      <c r="C17" s="13">
        <f>CONVERT(C16,"in","m")</f>
        <v>0.95990833333333325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27">
        <f>CONVERT(C20,"in","mm")</f>
        <v>260.60399999999998</v>
      </c>
      <c r="C20" s="29">
        <v>10.26</v>
      </c>
      <c r="D20" s="5"/>
      <c r="E20" s="5"/>
    </row>
    <row r="21" spans="1:11" x14ac:dyDescent="0.3">
      <c r="A21" s="27" t="s">
        <v>18</v>
      </c>
      <c r="B21" s="27">
        <f>CONVERT(C21,"in","mm")</f>
        <v>253.49199999999999</v>
      </c>
      <c r="C21" s="29">
        <v>9.98</v>
      </c>
      <c r="D21" s="5"/>
      <c r="E21" s="5"/>
    </row>
    <row r="22" spans="1:11" ht="15" thickBot="1" x14ac:dyDescent="0.35">
      <c r="A22" s="27" t="s">
        <v>39</v>
      </c>
      <c r="B22" s="27">
        <f>AVERAGE(B20:B21)</f>
        <v>257.048</v>
      </c>
      <c r="C22" s="49">
        <f>AVERAGE(C20:C21)</f>
        <v>10.120000000000001</v>
      </c>
      <c r="D22" s="5"/>
      <c r="E22" s="5"/>
    </row>
    <row r="23" spans="1:11" ht="36.6" customHeight="1" x14ac:dyDescent="0.3">
      <c r="A23" s="50" t="s">
        <v>14</v>
      </c>
      <c r="B23" s="56">
        <f>I16-((C20+C21)/2)</f>
        <v>0.37999999999999901</v>
      </c>
      <c r="C23" s="51" t="s">
        <v>25</v>
      </c>
      <c r="D23" s="52"/>
      <c r="E23" s="52" t="s">
        <v>15</v>
      </c>
      <c r="F23" s="53">
        <f>C20/I16</f>
        <v>0.97714285714285709</v>
      </c>
      <c r="J23" t="s">
        <v>7</v>
      </c>
      <c r="K23" s="13">
        <f>AVERAGE(I4:I13)</f>
        <v>10.5</v>
      </c>
    </row>
    <row r="24" spans="1:11" ht="15" thickBot="1" x14ac:dyDescent="0.35">
      <c r="A24" s="10"/>
      <c r="B24" s="57">
        <f>CONVERT(B23,"in","mm")</f>
        <v>9.6519999999999744</v>
      </c>
      <c r="C24" s="11" t="s">
        <v>26</v>
      </c>
      <c r="D24" s="54"/>
      <c r="E24" s="54" t="s">
        <v>53</v>
      </c>
      <c r="F24" s="55">
        <f>(C22-I16)/I16</f>
        <v>-3.6190476190476092E-2</v>
      </c>
      <c r="J24" t="s">
        <v>20</v>
      </c>
      <c r="K24" s="13">
        <f>STDEVA(I4:I13)</f>
        <v>0.57735026918962573</v>
      </c>
    </row>
    <row r="25" spans="1:11" ht="15" thickBot="1" x14ac:dyDescent="0.35">
      <c r="J25" t="s">
        <v>21</v>
      </c>
      <c r="K25" s="13">
        <f>VARA(I4:I13)</f>
        <v>0.33333333333333331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0.90932000000000002</v>
      </c>
      <c r="C27" s="19">
        <v>35.799999999999997</v>
      </c>
      <c r="D27" s="35">
        <f>F16-C27</f>
        <v>1.7000000000000028</v>
      </c>
    </row>
    <row r="28" spans="1:11" x14ac:dyDescent="0.3">
      <c r="A28" s="36" t="s">
        <v>50</v>
      </c>
    </row>
    <row r="30" spans="1:11" x14ac:dyDescent="0.3">
      <c r="F30">
        <f>200/3</f>
        <v>66.666666666666671</v>
      </c>
      <c r="G30">
        <f>F30/27</f>
        <v>2.4691358024691361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/>
  </sheetPr>
  <dimension ref="A1:K31"/>
  <sheetViews>
    <sheetView workbookViewId="0">
      <selection activeCell="D34" sqref="D34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77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x14ac:dyDescent="0.3">
      <c r="A2" s="37"/>
      <c r="J2" s="1"/>
    </row>
    <row r="3" spans="1:10" x14ac:dyDescent="0.3">
      <c r="J3" s="1"/>
    </row>
    <row r="4" spans="1:10" x14ac:dyDescent="0.3">
      <c r="B4">
        <v>1</v>
      </c>
      <c r="C4">
        <v>26</v>
      </c>
      <c r="D4">
        <v>21</v>
      </c>
      <c r="E4">
        <v>0</v>
      </c>
      <c r="F4">
        <f>C4-E4</f>
        <v>26</v>
      </c>
      <c r="G4">
        <v>11</v>
      </c>
      <c r="H4">
        <v>2.5</v>
      </c>
      <c r="I4">
        <f>G4-H4</f>
        <v>8.5</v>
      </c>
      <c r="J4" s="1">
        <f>I4/F4</f>
        <v>0.32692307692307693</v>
      </c>
    </row>
    <row r="5" spans="1:10" x14ac:dyDescent="0.3">
      <c r="B5">
        <v>1</v>
      </c>
      <c r="C5">
        <v>27</v>
      </c>
      <c r="D5">
        <v>20</v>
      </c>
      <c r="E5">
        <v>0.5</v>
      </c>
      <c r="F5">
        <f t="shared" ref="F5:F15" si="0">C5-E5</f>
        <v>26.5</v>
      </c>
      <c r="G5">
        <v>10.5</v>
      </c>
      <c r="H5">
        <v>2.5</v>
      </c>
      <c r="I5">
        <f t="shared" ref="I5:I15" si="1">G5-H5</f>
        <v>8</v>
      </c>
      <c r="J5" s="1">
        <f t="shared" ref="J5:J15" si="2">I5/F5</f>
        <v>0.30188679245283018</v>
      </c>
    </row>
    <row r="6" spans="1:10" x14ac:dyDescent="0.3">
      <c r="B6">
        <v>2</v>
      </c>
      <c r="C6">
        <v>24.5</v>
      </c>
      <c r="D6">
        <v>23</v>
      </c>
      <c r="E6">
        <v>0.5</v>
      </c>
      <c r="F6">
        <f t="shared" si="0"/>
        <v>24</v>
      </c>
      <c r="G6">
        <v>11</v>
      </c>
      <c r="H6">
        <v>2.5</v>
      </c>
      <c r="I6">
        <f t="shared" si="1"/>
        <v>8.5</v>
      </c>
      <c r="J6" s="1">
        <f t="shared" si="2"/>
        <v>0.35416666666666669</v>
      </c>
    </row>
    <row r="7" spans="1:10" x14ac:dyDescent="0.3">
      <c r="B7">
        <v>2</v>
      </c>
      <c r="C7">
        <v>26</v>
      </c>
      <c r="D7">
        <v>23</v>
      </c>
      <c r="E7">
        <v>0.5</v>
      </c>
      <c r="F7">
        <f t="shared" si="0"/>
        <v>25.5</v>
      </c>
      <c r="G7">
        <v>10.5</v>
      </c>
      <c r="H7">
        <v>2.5</v>
      </c>
      <c r="I7">
        <f t="shared" si="1"/>
        <v>8</v>
      </c>
      <c r="J7" s="1">
        <f t="shared" si="2"/>
        <v>0.31372549019607843</v>
      </c>
    </row>
    <row r="8" spans="1:10" x14ac:dyDescent="0.3">
      <c r="B8">
        <v>3</v>
      </c>
      <c r="C8">
        <v>22</v>
      </c>
      <c r="D8">
        <v>19</v>
      </c>
      <c r="E8">
        <v>1</v>
      </c>
      <c r="F8">
        <f t="shared" si="0"/>
        <v>21</v>
      </c>
      <c r="G8">
        <v>11</v>
      </c>
      <c r="H8">
        <v>2.5</v>
      </c>
      <c r="I8">
        <f t="shared" si="1"/>
        <v>8.5</v>
      </c>
      <c r="J8" s="1">
        <f t="shared" si="2"/>
        <v>0.40476190476190477</v>
      </c>
    </row>
    <row r="9" spans="1:10" x14ac:dyDescent="0.3">
      <c r="B9">
        <v>3</v>
      </c>
      <c r="C9">
        <v>22</v>
      </c>
      <c r="D9">
        <v>19</v>
      </c>
      <c r="E9">
        <v>0.5</v>
      </c>
      <c r="F9">
        <f t="shared" si="0"/>
        <v>21.5</v>
      </c>
      <c r="G9">
        <v>10</v>
      </c>
      <c r="H9">
        <v>2.5</v>
      </c>
      <c r="I9">
        <f t="shared" si="1"/>
        <v>7.5</v>
      </c>
      <c r="J9" s="1">
        <f t="shared" si="2"/>
        <v>0.34883720930232559</v>
      </c>
    </row>
    <row r="10" spans="1:10" x14ac:dyDescent="0.3">
      <c r="B10">
        <v>4</v>
      </c>
      <c r="C10">
        <v>33</v>
      </c>
      <c r="D10">
        <v>30</v>
      </c>
      <c r="E10">
        <v>1</v>
      </c>
      <c r="F10">
        <f t="shared" si="0"/>
        <v>32</v>
      </c>
      <c r="G10">
        <v>12</v>
      </c>
      <c r="H10">
        <v>2.5</v>
      </c>
      <c r="I10">
        <f t="shared" si="1"/>
        <v>9.5</v>
      </c>
      <c r="J10" s="1">
        <f t="shared" si="2"/>
        <v>0.296875</v>
      </c>
    </row>
    <row r="11" spans="1:10" x14ac:dyDescent="0.3">
      <c r="B11">
        <v>4</v>
      </c>
      <c r="C11">
        <v>31</v>
      </c>
      <c r="D11">
        <v>27</v>
      </c>
      <c r="E11">
        <v>1</v>
      </c>
      <c r="F11">
        <f t="shared" si="0"/>
        <v>30</v>
      </c>
      <c r="G11">
        <v>12</v>
      </c>
      <c r="H11">
        <v>2.5</v>
      </c>
      <c r="I11">
        <f t="shared" si="1"/>
        <v>9.5</v>
      </c>
      <c r="J11" s="1">
        <f t="shared" si="2"/>
        <v>0.31666666666666665</v>
      </c>
    </row>
    <row r="12" spans="1:10" x14ac:dyDescent="0.3">
      <c r="B12">
        <v>5</v>
      </c>
      <c r="C12">
        <v>29</v>
      </c>
      <c r="D12">
        <v>25</v>
      </c>
      <c r="E12">
        <v>1</v>
      </c>
      <c r="F12">
        <f t="shared" si="0"/>
        <v>28</v>
      </c>
      <c r="G12">
        <v>11.5</v>
      </c>
      <c r="H12">
        <v>2.5</v>
      </c>
      <c r="I12">
        <f t="shared" si="1"/>
        <v>9</v>
      </c>
      <c r="J12" s="1">
        <f t="shared" si="2"/>
        <v>0.32142857142857145</v>
      </c>
    </row>
    <row r="13" spans="1:10" x14ac:dyDescent="0.3">
      <c r="B13">
        <v>5</v>
      </c>
      <c r="C13">
        <v>27</v>
      </c>
      <c r="D13">
        <v>23</v>
      </c>
      <c r="E13">
        <v>1</v>
      </c>
      <c r="F13">
        <f t="shared" si="0"/>
        <v>26</v>
      </c>
      <c r="G13">
        <v>10.5</v>
      </c>
      <c r="H13">
        <v>2.5</v>
      </c>
      <c r="I13">
        <f t="shared" si="1"/>
        <v>8</v>
      </c>
      <c r="J13" s="1">
        <f t="shared" si="2"/>
        <v>0.30769230769230771</v>
      </c>
    </row>
    <row r="14" spans="1:10" x14ac:dyDescent="0.3">
      <c r="B14">
        <v>6</v>
      </c>
      <c r="C14">
        <v>28</v>
      </c>
      <c r="D14">
        <v>22</v>
      </c>
      <c r="E14">
        <v>1</v>
      </c>
      <c r="F14">
        <f t="shared" si="0"/>
        <v>27</v>
      </c>
      <c r="G14">
        <v>11</v>
      </c>
      <c r="H14">
        <v>2.5</v>
      </c>
      <c r="I14">
        <f t="shared" si="1"/>
        <v>8.5</v>
      </c>
      <c r="J14" s="1">
        <f t="shared" si="2"/>
        <v>0.31481481481481483</v>
      </c>
    </row>
    <row r="15" spans="1:10" x14ac:dyDescent="0.3">
      <c r="B15">
        <v>6</v>
      </c>
      <c r="C15">
        <v>31</v>
      </c>
      <c r="D15">
        <v>25</v>
      </c>
      <c r="E15">
        <v>1.5</v>
      </c>
      <c r="F15">
        <f t="shared" si="0"/>
        <v>29.5</v>
      </c>
      <c r="G15">
        <v>12</v>
      </c>
      <c r="H15">
        <v>2.5</v>
      </c>
      <c r="I15">
        <f t="shared" si="1"/>
        <v>9.5</v>
      </c>
      <c r="J15" s="1">
        <f t="shared" si="2"/>
        <v>0.32203389830508472</v>
      </c>
    </row>
    <row r="16" spans="1:10" x14ac:dyDescent="0.3">
      <c r="B16" s="3" t="s">
        <v>7</v>
      </c>
      <c r="C16" s="25">
        <f>SUM(C4:C15)/12</f>
        <v>27.208333333333332</v>
      </c>
      <c r="D16" s="25">
        <f>SUM(D4:D15)/12</f>
        <v>23.083333333333332</v>
      </c>
      <c r="E16" s="25">
        <f>SUM(E4:E15)/12</f>
        <v>0.79166666666666663</v>
      </c>
      <c r="F16" s="25">
        <f>SUM(F4:F15)/12</f>
        <v>26.416666666666668</v>
      </c>
      <c r="G16" s="25">
        <f t="shared" ref="G16:J16" si="3">SUM(G4:G15)/12</f>
        <v>11.083333333333334</v>
      </c>
      <c r="H16" s="25">
        <f t="shared" si="3"/>
        <v>2.5</v>
      </c>
      <c r="I16" s="62">
        <f t="shared" si="3"/>
        <v>8.5833333333333339</v>
      </c>
      <c r="J16" s="2">
        <f t="shared" si="3"/>
        <v>0.32748436660086072</v>
      </c>
    </row>
    <row r="17" spans="1:11" x14ac:dyDescent="0.3">
      <c r="C17" s="13">
        <f>CONVERT(C16,"in","m")</f>
        <v>0.69109166666666655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27">
        <f>CONVERT(C20,"in","mm")</f>
        <v>225.04399999999998</v>
      </c>
      <c r="C20" s="29">
        <v>8.86</v>
      </c>
      <c r="D20" s="5"/>
      <c r="E20" s="5"/>
    </row>
    <row r="21" spans="1:11" x14ac:dyDescent="0.3">
      <c r="A21" s="27" t="s">
        <v>18</v>
      </c>
      <c r="B21" s="27">
        <f>CONVERT(C21,"in","mm")</f>
        <v>201.93</v>
      </c>
      <c r="C21" s="29">
        <v>7.95</v>
      </c>
      <c r="D21" s="5"/>
      <c r="E21" s="5"/>
    </row>
    <row r="22" spans="1:11" ht="15" thickBot="1" x14ac:dyDescent="0.35">
      <c r="A22" s="27" t="s">
        <v>39</v>
      </c>
      <c r="B22" s="27">
        <f>AVERAGE(B20:B21)</f>
        <v>213.48699999999999</v>
      </c>
      <c r="C22" s="49">
        <f>AVERAGE(C20:C21)</f>
        <v>8.4049999999999994</v>
      </c>
      <c r="D22" s="5"/>
      <c r="E22" s="5"/>
    </row>
    <row r="23" spans="1:11" ht="36.6" customHeight="1" x14ac:dyDescent="0.3">
      <c r="A23" s="50" t="s">
        <v>14</v>
      </c>
      <c r="B23" s="56">
        <f>I16-((C20+C21)/2)</f>
        <v>0.17833333333333456</v>
      </c>
      <c r="C23" s="51" t="s">
        <v>25</v>
      </c>
      <c r="D23" s="52"/>
      <c r="E23" s="52" t="s">
        <v>15</v>
      </c>
      <c r="F23" s="53">
        <f>C20/I16</f>
        <v>1.0322330097087378</v>
      </c>
      <c r="J23" t="s">
        <v>7</v>
      </c>
      <c r="K23" s="13">
        <f>AVERAGE(I4:I13)</f>
        <v>8.5</v>
      </c>
    </row>
    <row r="24" spans="1:11" ht="15" thickBot="1" x14ac:dyDescent="0.35">
      <c r="A24" s="10"/>
      <c r="B24" s="57">
        <f>CONVERT(B23,"in","mm")</f>
        <v>4.5296666666666976</v>
      </c>
      <c r="C24" s="11" t="s">
        <v>26</v>
      </c>
      <c r="D24" s="54"/>
      <c r="E24" s="54" t="s">
        <v>53</v>
      </c>
      <c r="F24" s="55">
        <f>(C22-I16)/I16</f>
        <v>-2.0776699029126357E-2</v>
      </c>
      <c r="J24" t="s">
        <v>20</v>
      </c>
      <c r="K24" s="13">
        <f>STDEVA(I4:I13)</f>
        <v>0.66666666666666663</v>
      </c>
    </row>
    <row r="25" spans="1:11" ht="15" thickBot="1" x14ac:dyDescent="0.35">
      <c r="J25" t="s">
        <v>21</v>
      </c>
      <c r="K25" s="13">
        <f>VARA(I4:I13)</f>
        <v>0.44444444444444442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0.66039999999999999</v>
      </c>
      <c r="C27" s="19">
        <v>26</v>
      </c>
      <c r="D27" s="35">
        <f>F16-C27</f>
        <v>0.41666666666666785</v>
      </c>
    </row>
    <row r="28" spans="1:11" x14ac:dyDescent="0.3">
      <c r="A28" s="36" t="s">
        <v>50</v>
      </c>
      <c r="B28">
        <f>(27+28+28)/3</f>
        <v>27.666666666666668</v>
      </c>
    </row>
    <row r="30" spans="1:11" x14ac:dyDescent="0.3">
      <c r="F30">
        <f>200/3</f>
        <v>66.666666666666671</v>
      </c>
      <c r="G30">
        <f>F30/27</f>
        <v>2.4691358024691361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/>
  </sheetPr>
  <dimension ref="A1:K31"/>
  <sheetViews>
    <sheetView workbookViewId="0">
      <selection activeCell="K26" sqref="K26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79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x14ac:dyDescent="0.3">
      <c r="A2" s="37"/>
      <c r="J2" s="1"/>
    </row>
    <row r="3" spans="1:10" x14ac:dyDescent="0.3">
      <c r="J3" s="1"/>
    </row>
    <row r="4" spans="1:10" x14ac:dyDescent="0.3">
      <c r="B4">
        <v>1</v>
      </c>
      <c r="C4">
        <v>17.5</v>
      </c>
      <c r="D4">
        <v>16.5</v>
      </c>
      <c r="E4">
        <v>0</v>
      </c>
      <c r="F4">
        <f>C4-E4</f>
        <v>17.5</v>
      </c>
      <c r="G4">
        <v>6.5</v>
      </c>
      <c r="H4">
        <v>3</v>
      </c>
      <c r="I4">
        <f>G4-H4</f>
        <v>3.5</v>
      </c>
      <c r="J4" s="1">
        <f>I4/F4</f>
        <v>0.2</v>
      </c>
    </row>
    <row r="5" spans="1:10" x14ac:dyDescent="0.3">
      <c r="B5">
        <v>1</v>
      </c>
      <c r="C5">
        <v>15.5</v>
      </c>
      <c r="D5">
        <v>15</v>
      </c>
      <c r="E5">
        <v>0</v>
      </c>
      <c r="F5">
        <f>C5-E5</f>
        <v>15.5</v>
      </c>
      <c r="G5">
        <v>6</v>
      </c>
      <c r="H5">
        <v>3</v>
      </c>
      <c r="I5">
        <f t="shared" ref="I5:I15" si="0">G5-H5</f>
        <v>3</v>
      </c>
      <c r="J5" s="1">
        <f t="shared" ref="J5:J15" si="1">I5/F5</f>
        <v>0.19354838709677419</v>
      </c>
    </row>
    <row r="6" spans="1:10" x14ac:dyDescent="0.3">
      <c r="B6">
        <v>2</v>
      </c>
      <c r="C6">
        <v>17.5</v>
      </c>
      <c r="D6">
        <v>17</v>
      </c>
      <c r="E6">
        <v>0.5</v>
      </c>
      <c r="F6">
        <f t="shared" ref="F6:F15" si="2">C6-E6</f>
        <v>17</v>
      </c>
      <c r="G6">
        <v>7</v>
      </c>
      <c r="H6">
        <v>3</v>
      </c>
      <c r="I6">
        <f t="shared" si="0"/>
        <v>4</v>
      </c>
      <c r="J6" s="1">
        <f t="shared" si="1"/>
        <v>0.23529411764705882</v>
      </c>
    </row>
    <row r="7" spans="1:10" x14ac:dyDescent="0.3">
      <c r="B7">
        <v>2</v>
      </c>
      <c r="C7">
        <v>17</v>
      </c>
      <c r="D7">
        <v>16</v>
      </c>
      <c r="E7">
        <v>0.5</v>
      </c>
      <c r="F7">
        <f t="shared" si="2"/>
        <v>16.5</v>
      </c>
      <c r="G7">
        <v>6.5</v>
      </c>
      <c r="H7">
        <v>2.5</v>
      </c>
      <c r="I7">
        <f t="shared" si="0"/>
        <v>4</v>
      </c>
      <c r="J7" s="1">
        <f t="shared" si="1"/>
        <v>0.24242424242424243</v>
      </c>
    </row>
    <row r="8" spans="1:10" x14ac:dyDescent="0.3">
      <c r="B8">
        <v>3</v>
      </c>
      <c r="C8">
        <v>16</v>
      </c>
      <c r="D8">
        <v>16</v>
      </c>
      <c r="E8">
        <v>0</v>
      </c>
      <c r="F8">
        <f t="shared" si="2"/>
        <v>16</v>
      </c>
      <c r="G8">
        <v>6.5</v>
      </c>
      <c r="H8">
        <v>2.5</v>
      </c>
      <c r="I8">
        <f t="shared" si="0"/>
        <v>4</v>
      </c>
      <c r="J8" s="1">
        <f t="shared" si="1"/>
        <v>0.25</v>
      </c>
    </row>
    <row r="9" spans="1:10" x14ac:dyDescent="0.3">
      <c r="B9">
        <v>3</v>
      </c>
      <c r="C9">
        <v>16</v>
      </c>
      <c r="D9">
        <v>16</v>
      </c>
      <c r="E9">
        <v>0</v>
      </c>
      <c r="F9">
        <f t="shared" si="2"/>
        <v>16</v>
      </c>
      <c r="G9">
        <v>6.5</v>
      </c>
      <c r="H9">
        <v>2.5</v>
      </c>
      <c r="I9">
        <f t="shared" si="0"/>
        <v>4</v>
      </c>
      <c r="J9" s="1">
        <f t="shared" si="1"/>
        <v>0.25</v>
      </c>
    </row>
    <row r="10" spans="1:10" x14ac:dyDescent="0.3">
      <c r="B10">
        <v>4</v>
      </c>
      <c r="C10">
        <v>16.5</v>
      </c>
      <c r="D10">
        <v>16.5</v>
      </c>
      <c r="E10">
        <v>0</v>
      </c>
      <c r="F10">
        <f t="shared" si="2"/>
        <v>16.5</v>
      </c>
      <c r="G10">
        <v>6</v>
      </c>
      <c r="H10">
        <v>2.5</v>
      </c>
      <c r="I10">
        <f t="shared" si="0"/>
        <v>3.5</v>
      </c>
      <c r="J10" s="1">
        <f t="shared" si="1"/>
        <v>0.21212121212121213</v>
      </c>
    </row>
    <row r="11" spans="1:10" x14ac:dyDescent="0.3">
      <c r="B11">
        <v>4</v>
      </c>
      <c r="C11">
        <v>16</v>
      </c>
      <c r="D11">
        <v>16</v>
      </c>
      <c r="E11">
        <v>0.5</v>
      </c>
      <c r="F11">
        <f t="shared" si="2"/>
        <v>15.5</v>
      </c>
      <c r="G11">
        <v>6</v>
      </c>
      <c r="H11">
        <v>2.5</v>
      </c>
      <c r="I11">
        <f t="shared" si="0"/>
        <v>3.5</v>
      </c>
      <c r="J11" s="1">
        <f t="shared" si="1"/>
        <v>0.22580645161290322</v>
      </c>
    </row>
    <row r="12" spans="1:10" x14ac:dyDescent="0.3">
      <c r="B12">
        <v>5</v>
      </c>
      <c r="C12">
        <v>17</v>
      </c>
      <c r="D12">
        <v>16.5</v>
      </c>
      <c r="E12">
        <v>0.5</v>
      </c>
      <c r="F12">
        <f t="shared" si="2"/>
        <v>16.5</v>
      </c>
      <c r="G12">
        <v>6.5</v>
      </c>
      <c r="H12">
        <v>2.5</v>
      </c>
      <c r="I12">
        <f t="shared" si="0"/>
        <v>4</v>
      </c>
      <c r="J12" s="1">
        <f t="shared" si="1"/>
        <v>0.24242424242424243</v>
      </c>
    </row>
    <row r="13" spans="1:10" x14ac:dyDescent="0.3">
      <c r="B13">
        <v>5</v>
      </c>
      <c r="C13">
        <v>17</v>
      </c>
      <c r="D13">
        <v>16.5</v>
      </c>
      <c r="E13">
        <v>0.5</v>
      </c>
      <c r="F13">
        <f t="shared" si="2"/>
        <v>16.5</v>
      </c>
      <c r="G13">
        <v>6</v>
      </c>
      <c r="H13">
        <v>2.5</v>
      </c>
      <c r="I13">
        <f t="shared" si="0"/>
        <v>3.5</v>
      </c>
      <c r="J13" s="1">
        <f t="shared" si="1"/>
        <v>0.21212121212121213</v>
      </c>
    </row>
    <row r="14" spans="1:10" x14ac:dyDescent="0.3">
      <c r="B14">
        <v>6</v>
      </c>
      <c r="C14">
        <v>17</v>
      </c>
      <c r="D14">
        <v>16</v>
      </c>
      <c r="E14">
        <v>1</v>
      </c>
      <c r="F14">
        <f t="shared" si="2"/>
        <v>16</v>
      </c>
      <c r="G14">
        <v>6.5</v>
      </c>
      <c r="H14">
        <v>2.5</v>
      </c>
      <c r="I14">
        <f t="shared" si="0"/>
        <v>4</v>
      </c>
      <c r="J14" s="1">
        <f t="shared" si="1"/>
        <v>0.25</v>
      </c>
    </row>
    <row r="15" spans="1:10" x14ac:dyDescent="0.3">
      <c r="B15">
        <v>6</v>
      </c>
      <c r="C15">
        <v>17</v>
      </c>
      <c r="D15">
        <v>16.5</v>
      </c>
      <c r="E15">
        <v>0</v>
      </c>
      <c r="F15">
        <f t="shared" si="2"/>
        <v>17</v>
      </c>
      <c r="G15">
        <v>6</v>
      </c>
      <c r="H15">
        <v>2.5</v>
      </c>
      <c r="I15">
        <f t="shared" si="0"/>
        <v>3.5</v>
      </c>
      <c r="J15" s="1">
        <f t="shared" si="1"/>
        <v>0.20588235294117646</v>
      </c>
    </row>
    <row r="16" spans="1:10" x14ac:dyDescent="0.3">
      <c r="B16" s="3" t="s">
        <v>7</v>
      </c>
      <c r="C16" s="25">
        <f>SUM(C4:C15)/12</f>
        <v>16.666666666666668</v>
      </c>
      <c r="D16" s="25">
        <f>SUM(D4:D15)/12</f>
        <v>16.208333333333332</v>
      </c>
      <c r="E16" s="25">
        <f>SUM(E4:E15)/12</f>
        <v>0.29166666666666669</v>
      </c>
      <c r="F16" s="25">
        <f>SUM(F4:F15)/12</f>
        <v>16.375</v>
      </c>
      <c r="G16" s="25">
        <f t="shared" ref="G16:J16" si="3">SUM(G4:G15)/12</f>
        <v>6.333333333333333</v>
      </c>
      <c r="H16" s="25">
        <f t="shared" si="3"/>
        <v>2.625</v>
      </c>
      <c r="I16" s="62">
        <f t="shared" si="3"/>
        <v>3.7083333333333335</v>
      </c>
      <c r="J16" s="2">
        <f t="shared" si="3"/>
        <v>0.22663518486573517</v>
      </c>
    </row>
    <row r="17" spans="1:11" x14ac:dyDescent="0.3">
      <c r="C17" s="13">
        <f>CONVERT(C16,"in","m")</f>
        <v>0.42333333333333334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27">
        <v>97</v>
      </c>
      <c r="C20" s="65">
        <f>CONVERT(B20,"mm","in")</f>
        <v>3.8188976377952755</v>
      </c>
      <c r="D20" s="5"/>
      <c r="E20" s="5"/>
    </row>
    <row r="21" spans="1:11" x14ac:dyDescent="0.3">
      <c r="A21" s="27" t="s">
        <v>18</v>
      </c>
      <c r="B21" s="27">
        <v>88</v>
      </c>
      <c r="C21" s="65">
        <f>CONVERT(B21,"mm","in")</f>
        <v>3.4645669291338583</v>
      </c>
      <c r="D21" s="5"/>
      <c r="E21" s="5"/>
    </row>
    <row r="22" spans="1:11" ht="15" thickBot="1" x14ac:dyDescent="0.35">
      <c r="A22" s="27" t="s">
        <v>39</v>
      </c>
      <c r="B22" s="27">
        <f>AVERAGE(B20:B21)</f>
        <v>92.5</v>
      </c>
      <c r="C22" s="66">
        <f>AVERAGE(C20:C21)</f>
        <v>3.6417322834645667</v>
      </c>
      <c r="D22" s="5"/>
      <c r="E22" s="5"/>
    </row>
    <row r="23" spans="1:11" ht="36.6" customHeight="1" x14ac:dyDescent="0.3">
      <c r="A23" s="50" t="s">
        <v>14</v>
      </c>
      <c r="B23" s="56">
        <f>I16-((C20+C21)/2)</f>
        <v>6.6601049868766804E-2</v>
      </c>
      <c r="C23" s="51" t="s">
        <v>25</v>
      </c>
      <c r="D23" s="52"/>
      <c r="E23" s="52" t="s">
        <v>15</v>
      </c>
      <c r="F23" s="53">
        <f>C20/I16</f>
        <v>1.0298150933380519</v>
      </c>
      <c r="J23" t="s">
        <v>7</v>
      </c>
      <c r="K23" s="13">
        <f>AVERAGE(I4:I13)</f>
        <v>3.7</v>
      </c>
    </row>
    <row r="24" spans="1:11" ht="15" thickBot="1" x14ac:dyDescent="0.35">
      <c r="A24" s="10"/>
      <c r="B24" s="57">
        <f>CONVERT(B23,"in","mm")</f>
        <v>1.6916666666666769</v>
      </c>
      <c r="C24" s="11" t="s">
        <v>26</v>
      </c>
      <c r="D24" s="54"/>
      <c r="E24" s="54" t="s">
        <v>53</v>
      </c>
      <c r="F24" s="55">
        <f>(C22-I16)/I16</f>
        <v>-1.7959833672476441E-2</v>
      </c>
      <c r="J24" t="s">
        <v>20</v>
      </c>
      <c r="K24" s="13">
        <f>STDEVA(I4:I13)</f>
        <v>0.34960294939005049</v>
      </c>
    </row>
    <row r="25" spans="1:11" ht="15" thickBot="1" x14ac:dyDescent="0.35">
      <c r="J25" t="s">
        <v>21</v>
      </c>
      <c r="K25" s="13">
        <f>VARA(I4:I13)</f>
        <v>0.1222222222222222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v>0.38300000000000001</v>
      </c>
      <c r="C27" s="65">
        <f>CONVERT(B27,"m","in")</f>
        <v>15.078740157480315</v>
      </c>
      <c r="D27" s="35">
        <f>F16-C27</f>
        <v>1.2962598425196852</v>
      </c>
    </row>
    <row r="28" spans="1:11" x14ac:dyDescent="0.3">
      <c r="A28" s="36" t="s">
        <v>50</v>
      </c>
      <c r="B28">
        <f>(15+15.5+16.5)/3</f>
        <v>15.666666666666666</v>
      </c>
    </row>
    <row r="30" spans="1:11" x14ac:dyDescent="0.3">
      <c r="F30">
        <f>200/3</f>
        <v>66.666666666666671</v>
      </c>
      <c r="G30">
        <f>F30/27</f>
        <v>2.4691358024691361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activeCell="G1" sqref="G1"/>
    </sheetView>
  </sheetViews>
  <sheetFormatPr defaultRowHeight="14.4" x14ac:dyDescent="0.3"/>
  <cols>
    <col min="2" max="2" width="16.77734375" customWidth="1"/>
    <col min="3" max="3" width="13.44140625" bestFit="1" customWidth="1"/>
    <col min="4" max="4" width="10.5546875" bestFit="1" customWidth="1"/>
    <col min="5" max="5" width="14.109375" bestFit="1" customWidth="1"/>
    <col min="6" max="6" width="19" bestFit="1" customWidth="1"/>
    <col min="7" max="7" width="16.5546875" bestFit="1" customWidth="1"/>
    <col min="8" max="8" width="11.21875" bestFit="1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6</v>
      </c>
      <c r="E1" t="s">
        <v>8</v>
      </c>
      <c r="F1" t="s">
        <v>2</v>
      </c>
      <c r="G1" t="s">
        <v>1</v>
      </c>
      <c r="H1" t="s">
        <v>3</v>
      </c>
      <c r="I1" t="s">
        <v>9</v>
      </c>
    </row>
    <row r="2" spans="1:13" x14ac:dyDescent="0.3">
      <c r="A2">
        <v>1</v>
      </c>
      <c r="B2">
        <v>18</v>
      </c>
      <c r="C2">
        <v>16</v>
      </c>
      <c r="D2">
        <v>0</v>
      </c>
      <c r="E2">
        <f>B2-D2</f>
        <v>18</v>
      </c>
      <c r="F2">
        <v>4.25</v>
      </c>
      <c r="G2">
        <v>1.5</v>
      </c>
      <c r="H2">
        <f>F2-G2</f>
        <v>2.75</v>
      </c>
      <c r="I2" s="1">
        <f>H2/E2</f>
        <v>0.15277777777777779</v>
      </c>
    </row>
    <row r="3" spans="1:13" x14ac:dyDescent="0.3">
      <c r="A3">
        <v>2</v>
      </c>
      <c r="B3">
        <v>22</v>
      </c>
      <c r="C3">
        <v>14</v>
      </c>
      <c r="D3">
        <v>1</v>
      </c>
      <c r="E3">
        <f t="shared" ref="E3:E11" si="0">B3-D3</f>
        <v>21</v>
      </c>
      <c r="F3">
        <v>5</v>
      </c>
      <c r="G3">
        <v>1.5</v>
      </c>
      <c r="H3">
        <f t="shared" ref="H3:H11" si="1">F3-G3</f>
        <v>3.5</v>
      </c>
      <c r="I3" s="1">
        <f t="shared" ref="I3:I11" si="2">H3/E3</f>
        <v>0.16666666666666666</v>
      </c>
    </row>
    <row r="4" spans="1:13" x14ac:dyDescent="0.3">
      <c r="A4">
        <v>3</v>
      </c>
      <c r="B4">
        <v>21.5</v>
      </c>
      <c r="C4">
        <v>14</v>
      </c>
      <c r="D4">
        <v>1</v>
      </c>
      <c r="E4">
        <f t="shared" si="0"/>
        <v>20.5</v>
      </c>
      <c r="F4">
        <v>5</v>
      </c>
      <c r="G4">
        <v>1.5</v>
      </c>
      <c r="H4">
        <f t="shared" si="1"/>
        <v>3.5</v>
      </c>
      <c r="I4" s="1">
        <f t="shared" si="2"/>
        <v>0.17073170731707318</v>
      </c>
    </row>
    <row r="5" spans="1:13" x14ac:dyDescent="0.3">
      <c r="A5">
        <v>4</v>
      </c>
      <c r="B5">
        <v>21</v>
      </c>
      <c r="C5">
        <v>13</v>
      </c>
      <c r="D5">
        <v>0</v>
      </c>
      <c r="E5">
        <f t="shared" si="0"/>
        <v>21</v>
      </c>
      <c r="F5">
        <v>4.75</v>
      </c>
      <c r="G5">
        <v>1.5</v>
      </c>
      <c r="H5">
        <f t="shared" si="1"/>
        <v>3.25</v>
      </c>
      <c r="I5" s="1">
        <f t="shared" si="2"/>
        <v>0.15476190476190477</v>
      </c>
    </row>
    <row r="6" spans="1:13" x14ac:dyDescent="0.3">
      <c r="A6">
        <v>5</v>
      </c>
      <c r="B6">
        <v>21</v>
      </c>
      <c r="C6">
        <v>13.5</v>
      </c>
      <c r="D6">
        <v>0</v>
      </c>
      <c r="E6">
        <f t="shared" si="0"/>
        <v>21</v>
      </c>
      <c r="F6">
        <v>5</v>
      </c>
      <c r="G6">
        <v>1.5</v>
      </c>
      <c r="H6">
        <f t="shared" si="1"/>
        <v>3.5</v>
      </c>
      <c r="I6" s="1">
        <f t="shared" si="2"/>
        <v>0.16666666666666666</v>
      </c>
    </row>
    <row r="7" spans="1:13" x14ac:dyDescent="0.3">
      <c r="A7">
        <v>6</v>
      </c>
      <c r="B7">
        <v>21</v>
      </c>
      <c r="C7">
        <v>17.5</v>
      </c>
      <c r="D7">
        <v>0</v>
      </c>
      <c r="E7">
        <f t="shared" si="0"/>
        <v>21</v>
      </c>
      <c r="F7">
        <v>5</v>
      </c>
      <c r="G7">
        <v>1.5</v>
      </c>
      <c r="H7">
        <f t="shared" si="1"/>
        <v>3.5</v>
      </c>
      <c r="I7" s="1">
        <f t="shared" si="2"/>
        <v>0.16666666666666666</v>
      </c>
    </row>
    <row r="8" spans="1:13" x14ac:dyDescent="0.3">
      <c r="A8">
        <v>7</v>
      </c>
      <c r="B8">
        <v>20.5</v>
      </c>
      <c r="C8">
        <v>14</v>
      </c>
      <c r="D8">
        <v>1.5</v>
      </c>
      <c r="E8">
        <f t="shared" si="0"/>
        <v>19</v>
      </c>
      <c r="F8">
        <v>4</v>
      </c>
      <c r="G8">
        <v>1.5</v>
      </c>
      <c r="H8">
        <f t="shared" si="1"/>
        <v>2.5</v>
      </c>
      <c r="I8" s="1">
        <f t="shared" si="2"/>
        <v>0.13157894736842105</v>
      </c>
    </row>
    <row r="9" spans="1:13" x14ac:dyDescent="0.3">
      <c r="A9">
        <v>8</v>
      </c>
      <c r="B9">
        <v>20</v>
      </c>
      <c r="C9">
        <v>15</v>
      </c>
      <c r="D9">
        <v>1</v>
      </c>
      <c r="E9">
        <f t="shared" si="0"/>
        <v>19</v>
      </c>
      <c r="F9">
        <v>4.5</v>
      </c>
      <c r="G9">
        <v>1.5</v>
      </c>
      <c r="H9">
        <f t="shared" si="1"/>
        <v>3</v>
      </c>
      <c r="I9" s="1">
        <f t="shared" si="2"/>
        <v>0.15789473684210525</v>
      </c>
    </row>
    <row r="10" spans="1:13" x14ac:dyDescent="0.3">
      <c r="A10">
        <v>9</v>
      </c>
      <c r="B10">
        <v>19</v>
      </c>
      <c r="C10">
        <v>12.5</v>
      </c>
      <c r="D10">
        <v>0.5</v>
      </c>
      <c r="E10">
        <f t="shared" si="0"/>
        <v>18.5</v>
      </c>
      <c r="F10">
        <v>5</v>
      </c>
      <c r="G10">
        <v>1.5</v>
      </c>
      <c r="H10">
        <f t="shared" si="1"/>
        <v>3.5</v>
      </c>
      <c r="I10" s="1">
        <f t="shared" si="2"/>
        <v>0.1891891891891892</v>
      </c>
    </row>
    <row r="11" spans="1:13" x14ac:dyDescent="0.3">
      <c r="A11">
        <v>10</v>
      </c>
      <c r="B11">
        <v>18</v>
      </c>
      <c r="C11">
        <v>9.5</v>
      </c>
      <c r="D11">
        <v>1</v>
      </c>
      <c r="E11">
        <f t="shared" si="0"/>
        <v>17</v>
      </c>
      <c r="F11">
        <v>4</v>
      </c>
      <c r="G11">
        <v>1.5</v>
      </c>
      <c r="H11">
        <f t="shared" si="1"/>
        <v>2.5</v>
      </c>
      <c r="I11" s="1">
        <f t="shared" si="2"/>
        <v>0.14705882352941177</v>
      </c>
    </row>
    <row r="12" spans="1:13" x14ac:dyDescent="0.3">
      <c r="I12" s="1"/>
    </row>
    <row r="13" spans="1:13" x14ac:dyDescent="0.3">
      <c r="A13" t="s">
        <v>7</v>
      </c>
      <c r="B13">
        <f t="shared" ref="B13:I13" si="3">SUM(B2:B11)/10</f>
        <v>20.2</v>
      </c>
      <c r="C13">
        <f>SUM(C2:C11)/10</f>
        <v>13.9</v>
      </c>
      <c r="D13">
        <f t="shared" si="3"/>
        <v>0.6</v>
      </c>
      <c r="E13" s="3">
        <f>SUM(E2:E11)/10</f>
        <v>19.600000000000001</v>
      </c>
      <c r="F13">
        <f t="shared" si="3"/>
        <v>4.6500000000000004</v>
      </c>
      <c r="G13">
        <f t="shared" si="3"/>
        <v>1.5</v>
      </c>
      <c r="H13" s="3">
        <f>SUM(H2:H11)/10</f>
        <v>3.15</v>
      </c>
      <c r="I13" s="2">
        <f t="shared" si="3"/>
        <v>0.16039930867858829</v>
      </c>
    </row>
    <row r="15" spans="1:13" x14ac:dyDescent="0.3">
      <c r="L15" t="s">
        <v>7</v>
      </c>
      <c r="M15" s="13">
        <f>AVERAGE(H2:H11)</f>
        <v>3.15</v>
      </c>
    </row>
    <row r="16" spans="1:13" ht="28.8" x14ac:dyDescent="0.3">
      <c r="B16" s="4" t="s">
        <v>11</v>
      </c>
      <c r="C16" s="5"/>
      <c r="D16" s="5"/>
      <c r="L16" t="s">
        <v>20</v>
      </c>
      <c r="M16" s="13">
        <f>STDEVA(H2:H11)</f>
        <v>0.42817441928883837</v>
      </c>
    </row>
    <row r="17" spans="2:13" x14ac:dyDescent="0.3">
      <c r="B17" s="6">
        <f>21/25.4</f>
        <v>0.82677165354330717</v>
      </c>
      <c r="C17" s="5" t="s">
        <v>10</v>
      </c>
      <c r="D17" s="5"/>
      <c r="E17">
        <f>CONVERT(21,"mm","in")</f>
        <v>0.82677165354330717</v>
      </c>
      <c r="L17" t="s">
        <v>21</v>
      </c>
      <c r="M17" s="13">
        <f>VARA(H2:H11)</f>
        <v>0.18333333333333396</v>
      </c>
    </row>
    <row r="18" spans="2:13" ht="15" thickBot="1" x14ac:dyDescent="0.35">
      <c r="B18" s="4"/>
      <c r="C18" s="5"/>
      <c r="D18" s="5"/>
    </row>
    <row r="19" spans="2:13" ht="29.4" thickBot="1" x14ac:dyDescent="0.35">
      <c r="B19" s="7" t="s">
        <v>12</v>
      </c>
      <c r="C19" s="8">
        <f>H13-B17</f>
        <v>2.323228346456693</v>
      </c>
      <c r="D19" s="9" t="s">
        <v>10</v>
      </c>
      <c r="F19" t="s">
        <v>15</v>
      </c>
      <c r="G19" s="1">
        <f>B17/H13</f>
        <v>0.26246719160104992</v>
      </c>
    </row>
    <row r="20" spans="2:13" ht="15" thickBot="1" x14ac:dyDescent="0.35">
      <c r="B20" s="10"/>
      <c r="C20" s="11">
        <f>CONVERT(C19,"in","mm")</f>
        <v>59.01</v>
      </c>
      <c r="D20" s="12" t="s">
        <v>13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/>
  </sheetPr>
  <dimension ref="A1:K31"/>
  <sheetViews>
    <sheetView workbookViewId="0">
      <selection activeCell="J22" sqref="J22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78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x14ac:dyDescent="0.3">
      <c r="A2" s="37"/>
      <c r="J2" s="1"/>
    </row>
    <row r="3" spans="1:10" x14ac:dyDescent="0.3">
      <c r="J3" s="1"/>
    </row>
    <row r="4" spans="1:10" x14ac:dyDescent="0.3">
      <c r="B4">
        <v>1</v>
      </c>
      <c r="C4">
        <v>34</v>
      </c>
      <c r="D4">
        <v>32</v>
      </c>
      <c r="E4">
        <v>0.5</v>
      </c>
      <c r="F4">
        <f>C4-E4</f>
        <v>33.5</v>
      </c>
      <c r="G4">
        <v>12.5</v>
      </c>
      <c r="H4">
        <v>2.5</v>
      </c>
      <c r="I4">
        <f>G4-H4</f>
        <v>10</v>
      </c>
      <c r="J4" s="1">
        <f>I4/F4</f>
        <v>0.29850746268656714</v>
      </c>
    </row>
    <row r="5" spans="1:10" x14ac:dyDescent="0.3">
      <c r="B5">
        <v>1</v>
      </c>
      <c r="C5">
        <v>33</v>
      </c>
      <c r="D5">
        <v>29</v>
      </c>
      <c r="E5">
        <v>0</v>
      </c>
      <c r="F5">
        <f t="shared" ref="F5:F15" si="0">C5-E5</f>
        <v>33</v>
      </c>
      <c r="G5">
        <v>13</v>
      </c>
      <c r="H5">
        <v>2.5</v>
      </c>
      <c r="I5">
        <f t="shared" ref="I5:I15" si="1">G5-H5</f>
        <v>10.5</v>
      </c>
      <c r="J5" s="1">
        <f t="shared" ref="J5:J15" si="2">I5/F5</f>
        <v>0.31818181818181818</v>
      </c>
    </row>
    <row r="6" spans="1:10" x14ac:dyDescent="0.3">
      <c r="B6">
        <v>2</v>
      </c>
      <c r="C6">
        <v>35</v>
      </c>
      <c r="D6">
        <v>31</v>
      </c>
      <c r="E6">
        <v>1</v>
      </c>
      <c r="F6">
        <f t="shared" si="0"/>
        <v>34</v>
      </c>
      <c r="G6">
        <v>13</v>
      </c>
      <c r="H6">
        <v>3</v>
      </c>
      <c r="I6">
        <f t="shared" si="1"/>
        <v>10</v>
      </c>
      <c r="J6" s="1">
        <f t="shared" si="2"/>
        <v>0.29411764705882354</v>
      </c>
    </row>
    <row r="7" spans="1:10" x14ac:dyDescent="0.3">
      <c r="B7">
        <v>2</v>
      </c>
      <c r="C7">
        <v>33</v>
      </c>
      <c r="D7">
        <v>30</v>
      </c>
      <c r="E7">
        <v>0.5</v>
      </c>
      <c r="F7">
        <f t="shared" si="0"/>
        <v>32.5</v>
      </c>
      <c r="G7">
        <v>13.5</v>
      </c>
      <c r="H7">
        <v>2.5</v>
      </c>
      <c r="I7">
        <f t="shared" si="1"/>
        <v>11</v>
      </c>
      <c r="J7" s="1">
        <f t="shared" si="2"/>
        <v>0.33846153846153848</v>
      </c>
    </row>
    <row r="8" spans="1:10" x14ac:dyDescent="0.3">
      <c r="B8">
        <v>3</v>
      </c>
      <c r="C8">
        <v>33.5</v>
      </c>
      <c r="D8">
        <v>30.5</v>
      </c>
      <c r="E8">
        <v>0.5</v>
      </c>
      <c r="F8">
        <f t="shared" si="0"/>
        <v>33</v>
      </c>
      <c r="G8">
        <v>12.5</v>
      </c>
      <c r="H8">
        <v>2.5</v>
      </c>
      <c r="I8">
        <f t="shared" si="1"/>
        <v>10</v>
      </c>
      <c r="J8" s="1">
        <f t="shared" si="2"/>
        <v>0.30303030303030304</v>
      </c>
    </row>
    <row r="9" spans="1:10" x14ac:dyDescent="0.3">
      <c r="B9">
        <v>3</v>
      </c>
      <c r="C9">
        <v>32</v>
      </c>
      <c r="D9">
        <v>28</v>
      </c>
      <c r="E9">
        <v>1</v>
      </c>
      <c r="F9">
        <f t="shared" si="0"/>
        <v>31</v>
      </c>
      <c r="G9">
        <v>12</v>
      </c>
      <c r="H9">
        <v>2.5</v>
      </c>
      <c r="I9">
        <f t="shared" si="1"/>
        <v>9.5</v>
      </c>
      <c r="J9" s="1">
        <f t="shared" si="2"/>
        <v>0.30645161290322581</v>
      </c>
    </row>
    <row r="10" spans="1:10" x14ac:dyDescent="0.3">
      <c r="B10">
        <v>4</v>
      </c>
      <c r="C10">
        <v>34</v>
      </c>
      <c r="D10">
        <v>31</v>
      </c>
      <c r="E10">
        <v>0.5</v>
      </c>
      <c r="F10">
        <f t="shared" si="0"/>
        <v>33.5</v>
      </c>
      <c r="G10">
        <v>12.5</v>
      </c>
      <c r="H10">
        <v>2.5</v>
      </c>
      <c r="I10">
        <f t="shared" si="1"/>
        <v>10</v>
      </c>
      <c r="J10" s="1">
        <f t="shared" si="2"/>
        <v>0.29850746268656714</v>
      </c>
    </row>
    <row r="11" spans="1:10" x14ac:dyDescent="0.3">
      <c r="B11">
        <v>4</v>
      </c>
      <c r="C11">
        <v>32.5</v>
      </c>
      <c r="D11">
        <v>28</v>
      </c>
      <c r="E11">
        <v>0</v>
      </c>
      <c r="F11">
        <f t="shared" si="0"/>
        <v>32.5</v>
      </c>
      <c r="G11">
        <v>12</v>
      </c>
      <c r="H11">
        <v>2.5</v>
      </c>
      <c r="I11">
        <f t="shared" si="1"/>
        <v>9.5</v>
      </c>
      <c r="J11" s="1">
        <f t="shared" si="2"/>
        <v>0.29230769230769232</v>
      </c>
    </row>
    <row r="12" spans="1:10" x14ac:dyDescent="0.3">
      <c r="B12">
        <v>5</v>
      </c>
      <c r="C12">
        <v>34</v>
      </c>
      <c r="D12">
        <v>30</v>
      </c>
      <c r="E12">
        <v>0</v>
      </c>
      <c r="F12">
        <f t="shared" si="0"/>
        <v>34</v>
      </c>
      <c r="G12">
        <v>12.5</v>
      </c>
      <c r="H12">
        <v>2.5</v>
      </c>
      <c r="I12">
        <f t="shared" si="1"/>
        <v>10</v>
      </c>
      <c r="J12" s="1">
        <f t="shared" si="2"/>
        <v>0.29411764705882354</v>
      </c>
    </row>
    <row r="13" spans="1:10" x14ac:dyDescent="0.3">
      <c r="B13">
        <v>5</v>
      </c>
      <c r="C13">
        <v>34.5</v>
      </c>
      <c r="D13">
        <v>30.5</v>
      </c>
      <c r="E13">
        <v>0.5</v>
      </c>
      <c r="F13">
        <f t="shared" si="0"/>
        <v>34</v>
      </c>
      <c r="G13">
        <v>12.5</v>
      </c>
      <c r="H13">
        <v>2.5</v>
      </c>
      <c r="I13">
        <f t="shared" si="1"/>
        <v>10</v>
      </c>
      <c r="J13" s="1">
        <f t="shared" si="2"/>
        <v>0.29411764705882354</v>
      </c>
    </row>
    <row r="14" spans="1:10" x14ac:dyDescent="0.3">
      <c r="B14">
        <v>6</v>
      </c>
      <c r="C14">
        <v>33.5</v>
      </c>
      <c r="D14">
        <v>29</v>
      </c>
      <c r="E14">
        <v>1</v>
      </c>
      <c r="F14">
        <f t="shared" si="0"/>
        <v>32.5</v>
      </c>
      <c r="G14">
        <v>12</v>
      </c>
      <c r="H14">
        <v>2.5</v>
      </c>
      <c r="I14">
        <f t="shared" si="1"/>
        <v>9.5</v>
      </c>
      <c r="J14" s="1">
        <f t="shared" si="2"/>
        <v>0.29230769230769232</v>
      </c>
    </row>
    <row r="15" spans="1:10" x14ac:dyDescent="0.3">
      <c r="B15">
        <v>6</v>
      </c>
      <c r="C15">
        <v>33</v>
      </c>
      <c r="D15">
        <v>29</v>
      </c>
      <c r="E15">
        <v>0</v>
      </c>
      <c r="F15">
        <f t="shared" si="0"/>
        <v>33</v>
      </c>
      <c r="G15">
        <v>11.5</v>
      </c>
      <c r="H15">
        <v>2.5</v>
      </c>
      <c r="I15">
        <f t="shared" si="1"/>
        <v>9</v>
      </c>
      <c r="J15" s="1">
        <f t="shared" si="2"/>
        <v>0.27272727272727271</v>
      </c>
    </row>
    <row r="16" spans="1:10" x14ac:dyDescent="0.3">
      <c r="B16" s="3" t="s">
        <v>7</v>
      </c>
      <c r="C16" s="25">
        <f>SUM(C4:C15)/12</f>
        <v>33.5</v>
      </c>
      <c r="D16" s="25">
        <f>SUM(D4:D15)/12</f>
        <v>29.833333333333332</v>
      </c>
      <c r="E16" s="25">
        <f>SUM(E4:E15)/12</f>
        <v>0.45833333333333331</v>
      </c>
      <c r="F16" s="25">
        <f>SUM(F4:F15)/12</f>
        <v>33.041666666666664</v>
      </c>
      <c r="G16" s="25">
        <f t="shared" ref="G16:J16" si="3">SUM(G4:G15)/12</f>
        <v>12.458333333333334</v>
      </c>
      <c r="H16" s="25">
        <f t="shared" si="3"/>
        <v>2.5416666666666665</v>
      </c>
      <c r="I16" s="62">
        <f t="shared" si="3"/>
        <v>9.9166666666666661</v>
      </c>
      <c r="J16" s="2">
        <f t="shared" si="3"/>
        <v>0.30023631637242892</v>
      </c>
    </row>
    <row r="17" spans="1:11" x14ac:dyDescent="0.3">
      <c r="C17" s="13">
        <f>CONVERT(C16,"in","m")</f>
        <v>0.85089999999999999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27">
        <v>230</v>
      </c>
      <c r="C20" s="65">
        <f>CONVERT(B20,"mm","in")</f>
        <v>9.0551181102362204</v>
      </c>
      <c r="D20" s="5"/>
      <c r="E20" s="5"/>
    </row>
    <row r="21" spans="1:11" x14ac:dyDescent="0.3">
      <c r="A21" s="27" t="s">
        <v>18</v>
      </c>
      <c r="B21" s="27">
        <v>218</v>
      </c>
      <c r="C21" s="65">
        <f>CONVERT(B21,"mm","in")</f>
        <v>8.5826771653543314</v>
      </c>
      <c r="D21" s="5"/>
      <c r="E21" s="5"/>
    </row>
    <row r="22" spans="1:11" ht="15" thickBot="1" x14ac:dyDescent="0.35">
      <c r="A22" s="27" t="s">
        <v>39</v>
      </c>
      <c r="B22" s="27">
        <f>AVERAGE(B20:B21)</f>
        <v>224</v>
      </c>
      <c r="C22" s="66">
        <f>AVERAGE(C20:C21)</f>
        <v>8.8188976377952759</v>
      </c>
      <c r="D22" s="5"/>
      <c r="E22" s="5"/>
    </row>
    <row r="23" spans="1:11" ht="36.6" customHeight="1" x14ac:dyDescent="0.3">
      <c r="A23" s="50" t="s">
        <v>14</v>
      </c>
      <c r="B23" s="56">
        <f>I16-((C20+C21)/2)</f>
        <v>1.0977690288713902</v>
      </c>
      <c r="C23" s="51" t="s">
        <v>25</v>
      </c>
      <c r="D23" s="52"/>
      <c r="E23" s="52" t="s">
        <v>15</v>
      </c>
      <c r="F23" s="53">
        <f>C20/I16</f>
        <v>0.91312115397340043</v>
      </c>
      <c r="J23" t="s">
        <v>7</v>
      </c>
      <c r="K23" s="13">
        <f>AVERAGE(I4:I13)</f>
        <v>10.050000000000001</v>
      </c>
    </row>
    <row r="24" spans="1:11" ht="15" thickBot="1" x14ac:dyDescent="0.35">
      <c r="A24" s="10"/>
      <c r="B24" s="57">
        <f>CONVERT(B23,"in","mm")</f>
        <v>27.883333333333308</v>
      </c>
      <c r="C24" s="11" t="s">
        <v>26</v>
      </c>
      <c r="D24" s="54"/>
      <c r="E24" s="54" t="s">
        <v>53</v>
      </c>
      <c r="F24" s="55">
        <f>(C22-I16)/I16</f>
        <v>-0.11069939786938389</v>
      </c>
      <c r="J24" t="s">
        <v>20</v>
      </c>
      <c r="K24" s="13">
        <f>STDEVA(I4:I13)</f>
        <v>0.43779751788545668</v>
      </c>
    </row>
    <row r="25" spans="1:11" ht="15" thickBot="1" x14ac:dyDescent="0.35">
      <c r="J25" t="s">
        <v>21</v>
      </c>
      <c r="K25" s="13">
        <f>VARA(I4:I13)</f>
        <v>0.19166666666666674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v>0.79300000000000004</v>
      </c>
      <c r="C27" s="65">
        <f>CONVERT(B27,"m","in")</f>
        <v>31.220472440944881</v>
      </c>
      <c r="D27" s="35">
        <f>F16-C27</f>
        <v>1.8211942257217828</v>
      </c>
    </row>
    <row r="28" spans="1:11" x14ac:dyDescent="0.3">
      <c r="A28" s="36" t="s">
        <v>50</v>
      </c>
      <c r="B28">
        <f>(31.5+31.5+32+33.5)/4</f>
        <v>32.125</v>
      </c>
    </row>
    <row r="30" spans="1:11" x14ac:dyDescent="0.3">
      <c r="F30">
        <f>200/3</f>
        <v>66.666666666666671</v>
      </c>
      <c r="G30">
        <f>F30/27</f>
        <v>2.4691358024691361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K31"/>
  <sheetViews>
    <sheetView workbookViewId="0">
      <selection activeCell="S34" sqref="S34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80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x14ac:dyDescent="0.3">
      <c r="A2" s="37"/>
      <c r="J2" s="1"/>
    </row>
    <row r="3" spans="1:10" x14ac:dyDescent="0.3">
      <c r="J3" s="1"/>
    </row>
    <row r="4" spans="1:10" x14ac:dyDescent="0.3">
      <c r="B4">
        <v>1</v>
      </c>
      <c r="C4">
        <v>69</v>
      </c>
      <c r="D4">
        <v>59</v>
      </c>
      <c r="E4">
        <v>0</v>
      </c>
      <c r="F4">
        <f>C4-E4</f>
        <v>69</v>
      </c>
      <c r="G4">
        <v>36</v>
      </c>
      <c r="H4">
        <v>18.5</v>
      </c>
      <c r="I4">
        <f>G4-H4</f>
        <v>17.5</v>
      </c>
      <c r="J4" s="1">
        <f>I4/F4</f>
        <v>0.25362318840579712</v>
      </c>
    </row>
    <row r="5" spans="1:10" x14ac:dyDescent="0.3">
      <c r="B5">
        <v>1</v>
      </c>
      <c r="C5">
        <v>67.5</v>
      </c>
      <c r="D5">
        <v>56.5</v>
      </c>
      <c r="E5">
        <v>0</v>
      </c>
      <c r="F5">
        <f t="shared" ref="F5:F15" si="0">C5-E5</f>
        <v>67.5</v>
      </c>
      <c r="G5">
        <v>36</v>
      </c>
      <c r="H5">
        <v>18.5</v>
      </c>
      <c r="I5">
        <f t="shared" ref="I5:I15" si="1">G5-H5</f>
        <v>17.5</v>
      </c>
      <c r="J5" s="1">
        <f t="shared" ref="J5:J15" si="2">I5/F5</f>
        <v>0.25925925925925924</v>
      </c>
    </row>
    <row r="6" spans="1:10" x14ac:dyDescent="0.3">
      <c r="B6">
        <v>2</v>
      </c>
      <c r="C6">
        <v>69</v>
      </c>
      <c r="D6">
        <v>65.5</v>
      </c>
      <c r="E6">
        <v>1.5</v>
      </c>
      <c r="F6">
        <f t="shared" si="0"/>
        <v>67.5</v>
      </c>
      <c r="G6">
        <v>36.5</v>
      </c>
      <c r="H6">
        <v>18.5</v>
      </c>
      <c r="I6">
        <f t="shared" si="1"/>
        <v>18</v>
      </c>
      <c r="J6" s="1">
        <f t="shared" si="2"/>
        <v>0.26666666666666666</v>
      </c>
    </row>
    <row r="7" spans="1:10" x14ac:dyDescent="0.3">
      <c r="B7">
        <v>2</v>
      </c>
      <c r="C7">
        <v>69</v>
      </c>
      <c r="D7">
        <v>60</v>
      </c>
      <c r="E7">
        <v>1</v>
      </c>
      <c r="F7">
        <f t="shared" si="0"/>
        <v>68</v>
      </c>
      <c r="G7">
        <v>36.5</v>
      </c>
      <c r="H7">
        <v>18.5</v>
      </c>
      <c r="I7">
        <f t="shared" si="1"/>
        <v>18</v>
      </c>
      <c r="J7" s="1">
        <f t="shared" si="2"/>
        <v>0.26470588235294118</v>
      </c>
    </row>
    <row r="8" spans="1:10" x14ac:dyDescent="0.3">
      <c r="B8">
        <v>3</v>
      </c>
      <c r="C8">
        <v>68</v>
      </c>
      <c r="D8">
        <v>60</v>
      </c>
      <c r="E8">
        <v>0.5</v>
      </c>
      <c r="F8">
        <f t="shared" si="0"/>
        <v>67.5</v>
      </c>
      <c r="G8">
        <v>36.5</v>
      </c>
      <c r="H8">
        <v>18.5</v>
      </c>
      <c r="I8">
        <f t="shared" si="1"/>
        <v>18</v>
      </c>
      <c r="J8" s="1">
        <f t="shared" si="2"/>
        <v>0.26666666666666666</v>
      </c>
    </row>
    <row r="9" spans="1:10" x14ac:dyDescent="0.3">
      <c r="B9">
        <v>3</v>
      </c>
      <c r="C9">
        <v>69</v>
      </c>
      <c r="D9">
        <v>56.5</v>
      </c>
      <c r="E9">
        <v>1</v>
      </c>
      <c r="F9">
        <f t="shared" si="0"/>
        <v>68</v>
      </c>
      <c r="G9">
        <v>36.5</v>
      </c>
      <c r="H9">
        <v>18.5</v>
      </c>
      <c r="I9">
        <f t="shared" si="1"/>
        <v>18</v>
      </c>
      <c r="J9" s="1">
        <f t="shared" si="2"/>
        <v>0.26470588235294118</v>
      </c>
    </row>
    <row r="10" spans="1:10" x14ac:dyDescent="0.3">
      <c r="B10">
        <v>4</v>
      </c>
      <c r="C10">
        <v>66.5</v>
      </c>
      <c r="D10">
        <v>47.5</v>
      </c>
      <c r="E10">
        <v>0.5</v>
      </c>
      <c r="F10">
        <f t="shared" si="0"/>
        <v>66</v>
      </c>
      <c r="G10">
        <v>35</v>
      </c>
      <c r="H10">
        <v>18</v>
      </c>
      <c r="I10">
        <f t="shared" si="1"/>
        <v>17</v>
      </c>
      <c r="J10" s="1">
        <f t="shared" si="2"/>
        <v>0.25757575757575757</v>
      </c>
    </row>
    <row r="11" spans="1:10" x14ac:dyDescent="0.3">
      <c r="B11">
        <v>4</v>
      </c>
      <c r="C11">
        <v>68</v>
      </c>
      <c r="D11">
        <v>47</v>
      </c>
      <c r="E11">
        <v>0</v>
      </c>
      <c r="F11">
        <f t="shared" si="0"/>
        <v>68</v>
      </c>
      <c r="G11">
        <v>34.5</v>
      </c>
      <c r="H11">
        <v>18</v>
      </c>
      <c r="I11">
        <f t="shared" si="1"/>
        <v>16.5</v>
      </c>
      <c r="J11" s="1">
        <f t="shared" si="2"/>
        <v>0.24264705882352941</v>
      </c>
    </row>
    <row r="12" spans="1:10" x14ac:dyDescent="0.3">
      <c r="B12">
        <v>5</v>
      </c>
      <c r="C12">
        <v>69</v>
      </c>
      <c r="D12">
        <v>53</v>
      </c>
      <c r="E12">
        <v>0.5</v>
      </c>
      <c r="F12">
        <f t="shared" si="0"/>
        <v>68.5</v>
      </c>
      <c r="G12">
        <v>35.5</v>
      </c>
      <c r="H12">
        <v>18</v>
      </c>
      <c r="I12">
        <f t="shared" si="1"/>
        <v>17.5</v>
      </c>
      <c r="J12" s="1">
        <f t="shared" si="2"/>
        <v>0.25547445255474455</v>
      </c>
    </row>
    <row r="13" spans="1:10" x14ac:dyDescent="0.3">
      <c r="B13">
        <v>5</v>
      </c>
      <c r="C13">
        <v>70</v>
      </c>
      <c r="D13">
        <v>52</v>
      </c>
      <c r="E13">
        <v>0</v>
      </c>
      <c r="F13">
        <f t="shared" si="0"/>
        <v>70</v>
      </c>
      <c r="G13">
        <v>35</v>
      </c>
      <c r="H13">
        <v>18</v>
      </c>
      <c r="I13">
        <f t="shared" si="1"/>
        <v>17</v>
      </c>
      <c r="J13" s="1">
        <f t="shared" si="2"/>
        <v>0.24285714285714285</v>
      </c>
    </row>
    <row r="14" spans="1:10" x14ac:dyDescent="0.3">
      <c r="B14">
        <v>6</v>
      </c>
      <c r="C14">
        <v>68</v>
      </c>
      <c r="D14">
        <v>60</v>
      </c>
      <c r="E14">
        <v>0</v>
      </c>
      <c r="F14">
        <f t="shared" si="0"/>
        <v>68</v>
      </c>
      <c r="G14">
        <v>36</v>
      </c>
      <c r="H14">
        <v>18</v>
      </c>
      <c r="I14">
        <f t="shared" si="1"/>
        <v>18</v>
      </c>
      <c r="J14" s="1">
        <f t="shared" si="2"/>
        <v>0.26470588235294118</v>
      </c>
    </row>
    <row r="15" spans="1:10" x14ac:dyDescent="0.3">
      <c r="B15">
        <v>6</v>
      </c>
      <c r="C15">
        <v>68</v>
      </c>
      <c r="D15">
        <v>54</v>
      </c>
      <c r="E15">
        <v>0</v>
      </c>
      <c r="F15">
        <f t="shared" si="0"/>
        <v>68</v>
      </c>
      <c r="G15">
        <v>35</v>
      </c>
      <c r="H15">
        <v>18</v>
      </c>
      <c r="I15">
        <f t="shared" si="1"/>
        <v>17</v>
      </c>
      <c r="J15" s="1">
        <f t="shared" si="2"/>
        <v>0.25</v>
      </c>
    </row>
    <row r="16" spans="1:10" x14ac:dyDescent="0.3">
      <c r="B16" s="3" t="s">
        <v>7</v>
      </c>
      <c r="C16" s="25">
        <f>SUM(C4:C15)/12</f>
        <v>68.416666666666671</v>
      </c>
      <c r="D16" s="25">
        <f>SUM(D4:D15)/12</f>
        <v>55.916666666666664</v>
      </c>
      <c r="E16" s="25">
        <f>SUM(E4:E15)/12</f>
        <v>0.41666666666666669</v>
      </c>
      <c r="F16" s="25">
        <f>SUM(F4:F15)/12</f>
        <v>68</v>
      </c>
      <c r="G16" s="25">
        <f t="shared" ref="G16:J16" si="3">SUM(G4:G15)/12</f>
        <v>35.75</v>
      </c>
      <c r="H16" s="25">
        <f t="shared" si="3"/>
        <v>18.25</v>
      </c>
      <c r="I16" s="62">
        <f t="shared" si="3"/>
        <v>17.5</v>
      </c>
      <c r="J16" s="2">
        <f t="shared" si="3"/>
        <v>0.25740731998903227</v>
      </c>
    </row>
    <row r="17" spans="1:11" x14ac:dyDescent="0.3">
      <c r="C17" s="13">
        <f>CONVERT(C16,"in","m")</f>
        <v>1.7377833333333337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65">
        <f>CONVERT(C20,"in","mm")</f>
        <v>389.89</v>
      </c>
      <c r="C20" s="65">
        <v>15.35</v>
      </c>
      <c r="D20" s="5"/>
      <c r="E20" s="5"/>
    </row>
    <row r="21" spans="1:11" x14ac:dyDescent="0.3">
      <c r="A21" s="27" t="s">
        <v>18</v>
      </c>
      <c r="B21" s="65">
        <f>CONVERT(C21,"in","mm")</f>
        <v>358.90199999999999</v>
      </c>
      <c r="C21" s="65">
        <v>14.13</v>
      </c>
      <c r="D21" s="5"/>
      <c r="E21" s="5"/>
    </row>
    <row r="22" spans="1:11" ht="15" thickBot="1" x14ac:dyDescent="0.35">
      <c r="A22" s="27" t="s">
        <v>39</v>
      </c>
      <c r="B22" s="27">
        <f>AVERAGE(B20:B21)</f>
        <v>374.39599999999996</v>
      </c>
      <c r="C22" s="66">
        <f>AVERAGE(C20:C21)</f>
        <v>14.74</v>
      </c>
      <c r="D22" s="5"/>
      <c r="E22" s="5"/>
    </row>
    <row r="23" spans="1:11" ht="36.6" customHeight="1" x14ac:dyDescent="0.3">
      <c r="A23" s="50" t="s">
        <v>14</v>
      </c>
      <c r="B23" s="56">
        <f>I16-((C20+C21)/2)</f>
        <v>2.76</v>
      </c>
      <c r="C23" s="51" t="s">
        <v>25</v>
      </c>
      <c r="D23" s="52"/>
      <c r="E23" s="52" t="s">
        <v>15</v>
      </c>
      <c r="F23" s="53">
        <f>C20/I16</f>
        <v>0.87714285714285711</v>
      </c>
      <c r="J23" t="s">
        <v>7</v>
      </c>
      <c r="K23" s="13">
        <f>AVERAGE(I4:I13)</f>
        <v>17.5</v>
      </c>
    </row>
    <row r="24" spans="1:11" ht="15" thickBot="1" x14ac:dyDescent="0.35">
      <c r="A24" s="10"/>
      <c r="B24" s="57">
        <f>CONVERT(B23,"in","mm")</f>
        <v>70.103999999999999</v>
      </c>
      <c r="C24" s="11" t="s">
        <v>26</v>
      </c>
      <c r="D24" s="54"/>
      <c r="E24" s="54" t="s">
        <v>53</v>
      </c>
      <c r="F24" s="55">
        <f>(C22-I16)/I16</f>
        <v>-0.1577142857142857</v>
      </c>
      <c r="J24" t="s">
        <v>20</v>
      </c>
      <c r="K24" s="13">
        <f>STDEVA(I4:I13)</f>
        <v>0.52704627669472992</v>
      </c>
    </row>
    <row r="25" spans="1:11" ht="15" thickBot="1" x14ac:dyDescent="0.35">
      <c r="J25" t="s">
        <v>21</v>
      </c>
      <c r="K25" s="13">
        <f>VARA(I4:I13)</f>
        <v>0.27777777777777779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1.4859</v>
      </c>
      <c r="C27" s="65">
        <v>58.5</v>
      </c>
      <c r="D27" s="67">
        <f>F16-C27</f>
        <v>9.5</v>
      </c>
    </row>
    <row r="28" spans="1:11" x14ac:dyDescent="0.3">
      <c r="A28" s="36" t="s">
        <v>50</v>
      </c>
      <c r="B28" t="s">
        <v>81</v>
      </c>
    </row>
    <row r="30" spans="1:11" x14ac:dyDescent="0.3">
      <c r="F30">
        <f>200/3</f>
        <v>66.666666666666671</v>
      </c>
      <c r="G30">
        <f>F30/27</f>
        <v>2.4691358024691361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K31"/>
  <sheetViews>
    <sheetView workbookViewId="0">
      <selection activeCell="W23" sqref="W23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82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ht="100.8" x14ac:dyDescent="0.3">
      <c r="A2" s="37" t="s">
        <v>85</v>
      </c>
      <c r="J2" s="1"/>
    </row>
    <row r="3" spans="1:10" x14ac:dyDescent="0.3">
      <c r="J3" s="1"/>
    </row>
    <row r="4" spans="1:10" x14ac:dyDescent="0.3">
      <c r="B4">
        <v>1</v>
      </c>
      <c r="C4">
        <v>84</v>
      </c>
      <c r="D4">
        <v>66</v>
      </c>
      <c r="E4">
        <v>0</v>
      </c>
      <c r="F4">
        <f>C4-E4</f>
        <v>84</v>
      </c>
      <c r="G4">
        <v>41</v>
      </c>
      <c r="H4">
        <v>20</v>
      </c>
      <c r="I4">
        <f>G4-H4</f>
        <v>21</v>
      </c>
      <c r="J4" s="1">
        <f>I4/F4</f>
        <v>0.25</v>
      </c>
    </row>
    <row r="5" spans="1:10" x14ac:dyDescent="0.3">
      <c r="B5">
        <v>1</v>
      </c>
      <c r="C5">
        <v>84</v>
      </c>
      <c r="D5">
        <v>73</v>
      </c>
      <c r="E5">
        <v>0.5</v>
      </c>
      <c r="F5">
        <f t="shared" ref="F5:F15" si="0">C5-E5</f>
        <v>83.5</v>
      </c>
      <c r="G5">
        <v>40</v>
      </c>
      <c r="H5">
        <v>20</v>
      </c>
      <c r="I5">
        <f t="shared" ref="I5:I15" si="1">G5-H5</f>
        <v>20</v>
      </c>
      <c r="J5" s="1">
        <f t="shared" ref="J5:J15" si="2">I5/F5</f>
        <v>0.23952095808383234</v>
      </c>
    </row>
    <row r="6" spans="1:10" x14ac:dyDescent="0.3">
      <c r="B6">
        <v>2</v>
      </c>
      <c r="C6">
        <v>84</v>
      </c>
      <c r="D6">
        <v>70</v>
      </c>
      <c r="E6">
        <v>1</v>
      </c>
      <c r="F6">
        <f t="shared" si="0"/>
        <v>83</v>
      </c>
      <c r="G6">
        <v>39.5</v>
      </c>
      <c r="H6">
        <v>20</v>
      </c>
      <c r="I6">
        <f t="shared" si="1"/>
        <v>19.5</v>
      </c>
      <c r="J6" s="1">
        <f t="shared" si="2"/>
        <v>0.23493975903614459</v>
      </c>
    </row>
    <row r="7" spans="1:10" x14ac:dyDescent="0.3">
      <c r="B7">
        <v>2</v>
      </c>
      <c r="C7">
        <v>84</v>
      </c>
      <c r="D7">
        <v>77</v>
      </c>
      <c r="E7">
        <v>2</v>
      </c>
      <c r="F7">
        <f t="shared" si="0"/>
        <v>82</v>
      </c>
      <c r="G7">
        <v>41</v>
      </c>
      <c r="H7">
        <v>20</v>
      </c>
      <c r="I7">
        <f t="shared" si="1"/>
        <v>21</v>
      </c>
      <c r="J7" s="1">
        <f t="shared" si="2"/>
        <v>0.25609756097560976</v>
      </c>
    </row>
    <row r="8" spans="1:10" x14ac:dyDescent="0.3">
      <c r="B8">
        <v>3</v>
      </c>
      <c r="C8">
        <v>86</v>
      </c>
      <c r="D8">
        <v>61</v>
      </c>
      <c r="E8">
        <v>2</v>
      </c>
      <c r="F8">
        <f t="shared" si="0"/>
        <v>84</v>
      </c>
      <c r="G8">
        <v>39</v>
      </c>
      <c r="H8">
        <v>20</v>
      </c>
      <c r="I8">
        <f t="shared" si="1"/>
        <v>19</v>
      </c>
      <c r="J8" s="1">
        <f t="shared" si="2"/>
        <v>0.22619047619047619</v>
      </c>
    </row>
    <row r="9" spans="1:10" x14ac:dyDescent="0.3">
      <c r="B9">
        <v>3</v>
      </c>
      <c r="C9">
        <v>87</v>
      </c>
      <c r="D9">
        <v>77.5</v>
      </c>
      <c r="E9">
        <v>1.5</v>
      </c>
      <c r="F9">
        <f t="shared" si="0"/>
        <v>85.5</v>
      </c>
      <c r="G9">
        <v>41</v>
      </c>
      <c r="H9">
        <v>20</v>
      </c>
      <c r="I9">
        <f t="shared" si="1"/>
        <v>21</v>
      </c>
      <c r="J9" s="1">
        <f t="shared" si="2"/>
        <v>0.24561403508771928</v>
      </c>
    </row>
    <row r="10" spans="1:10" x14ac:dyDescent="0.3">
      <c r="B10">
        <v>4</v>
      </c>
      <c r="C10">
        <v>86</v>
      </c>
      <c r="D10">
        <v>59</v>
      </c>
      <c r="E10">
        <v>0</v>
      </c>
      <c r="F10">
        <f t="shared" si="0"/>
        <v>86</v>
      </c>
      <c r="G10">
        <v>41</v>
      </c>
      <c r="H10">
        <v>20</v>
      </c>
      <c r="I10">
        <f t="shared" si="1"/>
        <v>21</v>
      </c>
      <c r="J10" s="1">
        <f t="shared" si="2"/>
        <v>0.2441860465116279</v>
      </c>
    </row>
    <row r="11" spans="1:10" x14ac:dyDescent="0.3">
      <c r="B11">
        <v>4</v>
      </c>
      <c r="C11">
        <v>85</v>
      </c>
      <c r="D11">
        <v>67</v>
      </c>
      <c r="E11">
        <v>0.5</v>
      </c>
      <c r="F11">
        <f t="shared" si="0"/>
        <v>84.5</v>
      </c>
      <c r="G11">
        <v>41</v>
      </c>
      <c r="H11">
        <v>20</v>
      </c>
      <c r="I11">
        <f t="shared" si="1"/>
        <v>21</v>
      </c>
      <c r="J11" s="1">
        <f t="shared" si="2"/>
        <v>0.24852071005917159</v>
      </c>
    </row>
    <row r="12" spans="1:10" x14ac:dyDescent="0.3">
      <c r="B12">
        <v>5</v>
      </c>
      <c r="C12">
        <v>85.5</v>
      </c>
      <c r="D12">
        <v>68</v>
      </c>
      <c r="E12">
        <v>0.5</v>
      </c>
      <c r="F12">
        <f t="shared" si="0"/>
        <v>85</v>
      </c>
      <c r="G12">
        <v>40</v>
      </c>
      <c r="H12">
        <v>19</v>
      </c>
      <c r="I12">
        <f t="shared" si="1"/>
        <v>21</v>
      </c>
      <c r="J12" s="1">
        <f t="shared" si="2"/>
        <v>0.24705882352941178</v>
      </c>
    </row>
    <row r="13" spans="1:10" x14ac:dyDescent="0.3">
      <c r="B13">
        <v>5</v>
      </c>
      <c r="C13">
        <v>86.5</v>
      </c>
      <c r="D13">
        <v>71.5</v>
      </c>
      <c r="E13">
        <v>0</v>
      </c>
      <c r="F13">
        <f t="shared" si="0"/>
        <v>86.5</v>
      </c>
      <c r="G13">
        <v>40.5</v>
      </c>
      <c r="H13">
        <v>19</v>
      </c>
      <c r="I13">
        <f t="shared" si="1"/>
        <v>21.5</v>
      </c>
      <c r="J13" s="1">
        <f t="shared" si="2"/>
        <v>0.24855491329479767</v>
      </c>
    </row>
    <row r="14" spans="1:10" x14ac:dyDescent="0.3">
      <c r="B14">
        <v>6</v>
      </c>
      <c r="C14">
        <v>83</v>
      </c>
      <c r="D14">
        <v>71.5</v>
      </c>
      <c r="E14">
        <v>1</v>
      </c>
      <c r="F14">
        <f t="shared" si="0"/>
        <v>82</v>
      </c>
      <c r="G14">
        <v>41</v>
      </c>
      <c r="H14">
        <v>19</v>
      </c>
      <c r="I14">
        <f t="shared" si="1"/>
        <v>22</v>
      </c>
      <c r="J14" s="1">
        <f t="shared" si="2"/>
        <v>0.26829268292682928</v>
      </c>
    </row>
    <row r="15" spans="1:10" x14ac:dyDescent="0.3">
      <c r="B15">
        <v>6</v>
      </c>
      <c r="C15">
        <v>84</v>
      </c>
      <c r="D15">
        <v>70</v>
      </c>
      <c r="E15">
        <v>0</v>
      </c>
      <c r="F15">
        <f t="shared" si="0"/>
        <v>84</v>
      </c>
      <c r="G15">
        <v>41.5</v>
      </c>
      <c r="H15">
        <v>19</v>
      </c>
      <c r="I15">
        <f t="shared" si="1"/>
        <v>22.5</v>
      </c>
      <c r="J15" s="1">
        <f t="shared" si="2"/>
        <v>0.26785714285714285</v>
      </c>
    </row>
    <row r="16" spans="1:10" x14ac:dyDescent="0.3">
      <c r="B16" s="3" t="s">
        <v>7</v>
      </c>
      <c r="C16" s="25">
        <f>SUM(C4:C15)/12</f>
        <v>84.916666666666671</v>
      </c>
      <c r="D16" s="25">
        <f>SUM(D4:D15)/12</f>
        <v>69.291666666666671</v>
      </c>
      <c r="E16" s="25">
        <f>SUM(E4:E15)/12</f>
        <v>0.75</v>
      </c>
      <c r="F16" s="25">
        <f>SUM(F4:F15)/12</f>
        <v>84.166666666666671</v>
      </c>
      <c r="G16" s="25">
        <f t="shared" ref="G16:J16" si="3">SUM(G4:G15)/12</f>
        <v>40.541666666666664</v>
      </c>
      <c r="H16" s="25">
        <f t="shared" si="3"/>
        <v>19.666666666666668</v>
      </c>
      <c r="I16" s="62">
        <f t="shared" si="3"/>
        <v>20.875</v>
      </c>
      <c r="J16" s="2">
        <f t="shared" si="3"/>
        <v>0.24806942571273025</v>
      </c>
    </row>
    <row r="17" spans="1:11" x14ac:dyDescent="0.3">
      <c r="C17" s="13">
        <f>CONVERT(C16,"in","m")</f>
        <v>2.1568833333333335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65" t="s">
        <v>81</v>
      </c>
      <c r="C20" s="65"/>
      <c r="D20" s="5"/>
      <c r="E20" s="5"/>
    </row>
    <row r="21" spans="1:11" x14ac:dyDescent="0.3">
      <c r="A21" s="27" t="s">
        <v>18</v>
      </c>
      <c r="B21" s="65" t="s">
        <v>81</v>
      </c>
      <c r="C21" s="65"/>
      <c r="D21" s="5"/>
      <c r="E21" s="5"/>
    </row>
    <row r="22" spans="1:11" ht="15" thickBot="1" x14ac:dyDescent="0.35">
      <c r="A22" s="27" t="s">
        <v>39</v>
      </c>
      <c r="B22" s="27" t="s">
        <v>81</v>
      </c>
      <c r="C22" s="66"/>
      <c r="D22" s="5"/>
      <c r="E22" s="5"/>
    </row>
    <row r="23" spans="1:11" ht="36.6" customHeight="1" x14ac:dyDescent="0.3">
      <c r="A23" s="50" t="s">
        <v>14</v>
      </c>
      <c r="B23" s="68">
        <f>I16-((C20+C21)/2)</f>
        <v>20.875</v>
      </c>
      <c r="C23" s="51" t="s">
        <v>25</v>
      </c>
      <c r="D23" s="52"/>
      <c r="E23" s="52" t="s">
        <v>15</v>
      </c>
      <c r="F23" s="53">
        <f>C20/I16</f>
        <v>0</v>
      </c>
      <c r="J23" t="s">
        <v>7</v>
      </c>
      <c r="K23" s="13">
        <f>AVERAGE(I4:I13)</f>
        <v>20.6</v>
      </c>
    </row>
    <row r="24" spans="1:11" ht="15" thickBot="1" x14ac:dyDescent="0.35">
      <c r="A24" s="10"/>
      <c r="B24" s="69">
        <f>CONVERT(B23,"in","mm")</f>
        <v>530.22499999999991</v>
      </c>
      <c r="C24" s="11" t="s">
        <v>26</v>
      </c>
      <c r="D24" s="54"/>
      <c r="E24" s="54" t="s">
        <v>53</v>
      </c>
      <c r="F24" s="55">
        <f>(C22-I16)/I16</f>
        <v>-1</v>
      </c>
      <c r="J24" t="s">
        <v>20</v>
      </c>
      <c r="K24" s="13">
        <f>STDEVA(I4:I13)</f>
        <v>0.80966385343274128</v>
      </c>
    </row>
    <row r="25" spans="1:11" ht="15" thickBot="1" x14ac:dyDescent="0.35">
      <c r="J25" t="s">
        <v>21</v>
      </c>
      <c r="K25" s="13">
        <f>VARA(I4:I13)</f>
        <v>0.65555555555555556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 t="e">
        <f>CONVERT(C27,"in","m")</f>
        <v>#VALUE!</v>
      </c>
      <c r="C27" s="65" t="s">
        <v>81</v>
      </c>
      <c r="D27" s="67" t="e">
        <f>F16-C27</f>
        <v>#VALUE!</v>
      </c>
      <c r="E27" t="s">
        <v>83</v>
      </c>
    </row>
    <row r="28" spans="1:11" x14ac:dyDescent="0.3">
      <c r="A28" s="36" t="s">
        <v>50</v>
      </c>
      <c r="B28" t="s">
        <v>81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1:K31"/>
  <sheetViews>
    <sheetView topLeftCell="A4" workbookViewId="0">
      <selection activeCell="H20" sqref="H20"/>
    </sheetView>
  </sheetViews>
  <sheetFormatPr defaultRowHeight="14.4" x14ac:dyDescent="0.3"/>
  <cols>
    <col min="1" max="1" width="17" bestFit="1" customWidth="1"/>
    <col min="2" max="2" width="7.21875" customWidth="1"/>
    <col min="3" max="3" width="16.44140625" customWidth="1"/>
  </cols>
  <sheetData>
    <row r="1" spans="1:10" ht="52.2" customHeight="1" x14ac:dyDescent="0.3">
      <c r="A1" s="37" t="s">
        <v>86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ht="100.8" x14ac:dyDescent="0.3">
      <c r="A2" s="37" t="s">
        <v>85</v>
      </c>
      <c r="J2" s="1"/>
    </row>
    <row r="3" spans="1:10" x14ac:dyDescent="0.3">
      <c r="J3" s="1"/>
    </row>
    <row r="4" spans="1:10" x14ac:dyDescent="0.3">
      <c r="B4">
        <v>1</v>
      </c>
      <c r="C4">
        <v>67</v>
      </c>
      <c r="D4">
        <v>60</v>
      </c>
      <c r="E4">
        <v>1</v>
      </c>
      <c r="F4">
        <f>C4-E4</f>
        <v>66</v>
      </c>
      <c r="G4">
        <v>42</v>
      </c>
      <c r="H4">
        <v>18.5</v>
      </c>
      <c r="I4">
        <f>G4-H4</f>
        <v>23.5</v>
      </c>
      <c r="J4" s="1">
        <f>I4/F4</f>
        <v>0.35606060606060608</v>
      </c>
    </row>
    <row r="5" spans="1:10" x14ac:dyDescent="0.3">
      <c r="B5">
        <v>1</v>
      </c>
      <c r="C5">
        <v>68</v>
      </c>
      <c r="D5">
        <v>61</v>
      </c>
      <c r="E5">
        <v>1</v>
      </c>
      <c r="F5">
        <f t="shared" ref="F5:F15" si="0">C5-E5</f>
        <v>67</v>
      </c>
      <c r="G5">
        <v>45</v>
      </c>
      <c r="H5">
        <v>18.5</v>
      </c>
      <c r="I5">
        <f t="shared" ref="I5:I15" si="1">G5-H5</f>
        <v>26.5</v>
      </c>
      <c r="J5" s="1">
        <f t="shared" ref="J5:J15" si="2">I5/F5</f>
        <v>0.39552238805970147</v>
      </c>
    </row>
    <row r="6" spans="1:10" x14ac:dyDescent="0.3">
      <c r="B6">
        <v>2</v>
      </c>
      <c r="C6">
        <v>65</v>
      </c>
      <c r="D6">
        <v>58</v>
      </c>
      <c r="E6">
        <v>1</v>
      </c>
      <c r="F6">
        <f t="shared" si="0"/>
        <v>64</v>
      </c>
      <c r="G6">
        <v>42.5</v>
      </c>
      <c r="H6">
        <v>18.5</v>
      </c>
      <c r="I6">
        <f t="shared" si="1"/>
        <v>24</v>
      </c>
      <c r="J6" s="1">
        <f t="shared" si="2"/>
        <v>0.375</v>
      </c>
    </row>
    <row r="7" spans="1:10" x14ac:dyDescent="0.3">
      <c r="B7">
        <v>2</v>
      </c>
      <c r="C7">
        <v>65.5</v>
      </c>
      <c r="D7">
        <v>59</v>
      </c>
      <c r="E7">
        <v>0.5</v>
      </c>
      <c r="F7">
        <f t="shared" si="0"/>
        <v>65</v>
      </c>
      <c r="G7">
        <v>42.5</v>
      </c>
      <c r="H7">
        <v>18.5</v>
      </c>
      <c r="I7">
        <f t="shared" si="1"/>
        <v>24</v>
      </c>
      <c r="J7" s="1">
        <f t="shared" si="2"/>
        <v>0.36923076923076925</v>
      </c>
    </row>
    <row r="8" spans="1:10" x14ac:dyDescent="0.3">
      <c r="B8">
        <v>3</v>
      </c>
      <c r="C8">
        <v>66</v>
      </c>
      <c r="D8">
        <v>54</v>
      </c>
      <c r="E8">
        <v>0.5</v>
      </c>
      <c r="F8">
        <f t="shared" si="0"/>
        <v>65.5</v>
      </c>
      <c r="G8">
        <v>40</v>
      </c>
      <c r="H8">
        <v>18.5</v>
      </c>
      <c r="I8">
        <f t="shared" si="1"/>
        <v>21.5</v>
      </c>
      <c r="J8" s="1">
        <f t="shared" si="2"/>
        <v>0.3282442748091603</v>
      </c>
    </row>
    <row r="9" spans="1:10" x14ac:dyDescent="0.3">
      <c r="B9">
        <v>3</v>
      </c>
      <c r="C9">
        <v>66</v>
      </c>
      <c r="D9">
        <v>63</v>
      </c>
      <c r="E9">
        <v>0</v>
      </c>
      <c r="F9">
        <f t="shared" si="0"/>
        <v>66</v>
      </c>
      <c r="G9">
        <v>42.5</v>
      </c>
      <c r="H9">
        <v>18.5</v>
      </c>
      <c r="I9">
        <f t="shared" si="1"/>
        <v>24</v>
      </c>
      <c r="J9" s="1">
        <f t="shared" si="2"/>
        <v>0.36363636363636365</v>
      </c>
    </row>
    <row r="10" spans="1:10" x14ac:dyDescent="0.3">
      <c r="B10">
        <v>4</v>
      </c>
      <c r="C10">
        <v>68</v>
      </c>
      <c r="D10">
        <v>61</v>
      </c>
      <c r="E10">
        <v>0.5</v>
      </c>
      <c r="F10">
        <f t="shared" si="0"/>
        <v>67.5</v>
      </c>
      <c r="G10">
        <v>43</v>
      </c>
      <c r="H10">
        <v>18.5</v>
      </c>
      <c r="I10">
        <f t="shared" si="1"/>
        <v>24.5</v>
      </c>
      <c r="J10" s="1">
        <f t="shared" si="2"/>
        <v>0.36296296296296299</v>
      </c>
    </row>
    <row r="11" spans="1:10" x14ac:dyDescent="0.3">
      <c r="B11">
        <v>4</v>
      </c>
      <c r="C11">
        <v>69.5</v>
      </c>
      <c r="D11">
        <v>67</v>
      </c>
      <c r="E11">
        <v>1</v>
      </c>
      <c r="F11">
        <f t="shared" si="0"/>
        <v>68.5</v>
      </c>
      <c r="G11">
        <v>44</v>
      </c>
      <c r="H11">
        <v>19</v>
      </c>
      <c r="I11">
        <f t="shared" si="1"/>
        <v>25</v>
      </c>
      <c r="J11" s="1">
        <f t="shared" si="2"/>
        <v>0.36496350364963503</v>
      </c>
    </row>
    <row r="12" spans="1:10" x14ac:dyDescent="0.3">
      <c r="B12">
        <v>5</v>
      </c>
      <c r="C12">
        <v>68.5</v>
      </c>
      <c r="D12">
        <v>64</v>
      </c>
      <c r="E12">
        <v>1</v>
      </c>
      <c r="F12">
        <f t="shared" si="0"/>
        <v>67.5</v>
      </c>
      <c r="G12">
        <v>46</v>
      </c>
      <c r="H12">
        <v>19</v>
      </c>
      <c r="I12">
        <f t="shared" si="1"/>
        <v>27</v>
      </c>
      <c r="J12" s="1">
        <f t="shared" si="2"/>
        <v>0.4</v>
      </c>
    </row>
    <row r="13" spans="1:10" x14ac:dyDescent="0.3">
      <c r="B13">
        <v>5</v>
      </c>
      <c r="C13">
        <v>71</v>
      </c>
      <c r="D13">
        <v>62</v>
      </c>
      <c r="E13">
        <v>1</v>
      </c>
      <c r="F13">
        <f t="shared" si="0"/>
        <v>70</v>
      </c>
      <c r="G13">
        <v>45</v>
      </c>
      <c r="H13">
        <v>19</v>
      </c>
      <c r="I13">
        <f t="shared" si="1"/>
        <v>26</v>
      </c>
      <c r="J13" s="1">
        <f t="shared" si="2"/>
        <v>0.37142857142857144</v>
      </c>
    </row>
    <row r="14" spans="1:10" x14ac:dyDescent="0.3">
      <c r="B14">
        <v>6</v>
      </c>
      <c r="C14">
        <v>68</v>
      </c>
      <c r="D14">
        <v>60</v>
      </c>
      <c r="E14">
        <v>0.5</v>
      </c>
      <c r="F14">
        <f t="shared" si="0"/>
        <v>67.5</v>
      </c>
      <c r="G14">
        <v>41.5</v>
      </c>
      <c r="H14">
        <v>19</v>
      </c>
      <c r="I14">
        <f t="shared" si="1"/>
        <v>22.5</v>
      </c>
      <c r="J14" s="1">
        <f t="shared" si="2"/>
        <v>0.33333333333333331</v>
      </c>
    </row>
    <row r="15" spans="1:10" x14ac:dyDescent="0.3">
      <c r="B15">
        <v>6</v>
      </c>
      <c r="C15">
        <v>67</v>
      </c>
      <c r="D15">
        <v>54</v>
      </c>
      <c r="E15">
        <v>0.5</v>
      </c>
      <c r="F15">
        <f t="shared" si="0"/>
        <v>66.5</v>
      </c>
      <c r="G15">
        <v>42.5</v>
      </c>
      <c r="H15">
        <v>19</v>
      </c>
      <c r="I15">
        <f t="shared" si="1"/>
        <v>23.5</v>
      </c>
      <c r="J15" s="1">
        <f t="shared" si="2"/>
        <v>0.35338345864661652</v>
      </c>
    </row>
    <row r="16" spans="1:10" x14ac:dyDescent="0.3">
      <c r="B16" s="3" t="s">
        <v>7</v>
      </c>
      <c r="C16" s="25">
        <f>SUM(C4:C15)/12</f>
        <v>67.458333333333329</v>
      </c>
      <c r="D16" s="25">
        <f>SUM(D4:D14)/12</f>
        <v>55.75</v>
      </c>
      <c r="E16" s="25">
        <f>SUM(E4:E15)/12</f>
        <v>0.70833333333333337</v>
      </c>
      <c r="F16" s="25">
        <f>SUM(F4:F15)/12</f>
        <v>66.75</v>
      </c>
      <c r="G16" s="25">
        <f t="shared" ref="G16:J16" si="3">SUM(G4:G15)/12</f>
        <v>43.041666666666664</v>
      </c>
      <c r="H16" s="25">
        <f t="shared" si="3"/>
        <v>18.708333333333332</v>
      </c>
      <c r="I16" s="62">
        <f t="shared" si="3"/>
        <v>24.333333333333332</v>
      </c>
      <c r="J16" s="2">
        <f t="shared" si="3"/>
        <v>0.36448051931814335</v>
      </c>
    </row>
    <row r="17" spans="1:11" x14ac:dyDescent="0.3">
      <c r="C17" s="13">
        <f>CONVERT(C16,"in","m")</f>
        <v>1.7134416666666665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65" t="s">
        <v>81</v>
      </c>
      <c r="C20" s="65">
        <v>18.78</v>
      </c>
      <c r="D20" s="5"/>
      <c r="E20" s="5"/>
    </row>
    <row r="21" spans="1:11" x14ac:dyDescent="0.3">
      <c r="A21" s="27" t="s">
        <v>18</v>
      </c>
      <c r="B21" s="65" t="s">
        <v>81</v>
      </c>
      <c r="C21" s="65">
        <v>16.809999999999999</v>
      </c>
      <c r="D21" s="5"/>
      <c r="E21" s="5"/>
    </row>
    <row r="22" spans="1:11" ht="15" thickBot="1" x14ac:dyDescent="0.35">
      <c r="A22" s="27" t="s">
        <v>39</v>
      </c>
      <c r="B22" s="27" t="s">
        <v>81</v>
      </c>
      <c r="C22" s="72">
        <f>AVERAGE(C20:C21)</f>
        <v>17.795000000000002</v>
      </c>
      <c r="D22" s="5"/>
      <c r="E22" s="5"/>
    </row>
    <row r="23" spans="1:11" ht="36.6" customHeight="1" x14ac:dyDescent="0.3">
      <c r="A23" s="50" t="s">
        <v>14</v>
      </c>
      <c r="B23" s="68">
        <f>I16-((C20+C21)/2)</f>
        <v>6.5383333333333304</v>
      </c>
      <c r="C23" s="51" t="s">
        <v>25</v>
      </c>
      <c r="D23" s="52"/>
      <c r="E23" s="52" t="s">
        <v>15</v>
      </c>
      <c r="F23" s="53">
        <f>C20/I16</f>
        <v>0.77178082191780828</v>
      </c>
      <c r="J23" t="s">
        <v>7</v>
      </c>
      <c r="K23" s="13">
        <f>AVERAGE(I4:I13)</f>
        <v>24.6</v>
      </c>
    </row>
    <row r="24" spans="1:11" ht="15" thickBot="1" x14ac:dyDescent="0.35">
      <c r="A24" s="10"/>
      <c r="B24" s="69">
        <f>CONVERT(B23,"in","mm")</f>
        <v>166.07366666666658</v>
      </c>
      <c r="C24" s="11" t="s">
        <v>26</v>
      </c>
      <c r="D24" s="54"/>
      <c r="E24" s="54" t="s">
        <v>53</v>
      </c>
      <c r="F24" s="55">
        <f>(C22-I16)/I16</f>
        <v>-0.26869863013698619</v>
      </c>
      <c r="J24" t="s">
        <v>20</v>
      </c>
      <c r="K24" s="13">
        <f>STDEVA(I4:I13)</f>
        <v>1.6124515496597098</v>
      </c>
    </row>
    <row r="25" spans="1:11" ht="15" thickBot="1" x14ac:dyDescent="0.35">
      <c r="J25" t="s">
        <v>21</v>
      </c>
      <c r="K25" s="13">
        <f>VARA(I4:I13)</f>
        <v>2.5999999999999996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 t="e">
        <f>CONVERT(C27,"in","m")</f>
        <v>#VALUE!</v>
      </c>
      <c r="C27" s="65" t="s">
        <v>81</v>
      </c>
      <c r="D27" s="67"/>
      <c r="E27" t="s">
        <v>83</v>
      </c>
    </row>
    <row r="28" spans="1:11" x14ac:dyDescent="0.3">
      <c r="A28" s="36" t="s">
        <v>50</v>
      </c>
      <c r="B28" t="s">
        <v>81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4799-635D-4985-A6A8-D73EFF162805}">
  <sheetPr>
    <tabColor theme="7" tint="0.59999389629810485"/>
  </sheetPr>
  <dimension ref="A1:K31"/>
  <sheetViews>
    <sheetView workbookViewId="0">
      <selection activeCell="F16" sqref="F16"/>
    </sheetView>
  </sheetViews>
  <sheetFormatPr defaultRowHeight="14.4" x14ac:dyDescent="0.3"/>
  <cols>
    <col min="1" max="1" width="29.33203125" customWidth="1"/>
    <col min="2" max="2" width="8.21875" bestFit="1" customWidth="1"/>
    <col min="3" max="3" width="16.44140625" customWidth="1"/>
  </cols>
  <sheetData>
    <row r="1" spans="1:10" ht="52.2" customHeight="1" x14ac:dyDescent="0.3">
      <c r="A1" s="37" t="s">
        <v>98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ht="73.8" customHeight="1" x14ac:dyDescent="0.3">
      <c r="A2" s="37" t="s">
        <v>99</v>
      </c>
      <c r="J2" s="1"/>
    </row>
    <row r="3" spans="1:10" x14ac:dyDescent="0.3">
      <c r="J3" s="1"/>
    </row>
    <row r="4" spans="1:10" x14ac:dyDescent="0.3">
      <c r="B4">
        <v>1</v>
      </c>
      <c r="C4">
        <v>29</v>
      </c>
      <c r="D4">
        <v>28</v>
      </c>
      <c r="E4">
        <v>1.5</v>
      </c>
      <c r="F4">
        <f>C4-E4</f>
        <v>27.5</v>
      </c>
      <c r="G4">
        <v>9</v>
      </c>
      <c r="H4">
        <v>2.5</v>
      </c>
      <c r="I4">
        <f>G4-H4</f>
        <v>6.5</v>
      </c>
      <c r="J4" s="1">
        <f>I4/F4</f>
        <v>0.23636363636363636</v>
      </c>
    </row>
    <row r="5" spans="1:10" x14ac:dyDescent="0.3">
      <c r="B5">
        <v>1</v>
      </c>
      <c r="C5">
        <v>28.5</v>
      </c>
      <c r="D5">
        <v>28</v>
      </c>
      <c r="E5">
        <v>1</v>
      </c>
      <c r="F5">
        <f t="shared" ref="F5:F15" si="0">C5-E5</f>
        <v>27.5</v>
      </c>
      <c r="G5">
        <v>9</v>
      </c>
      <c r="H5">
        <v>2.5</v>
      </c>
      <c r="I5">
        <f t="shared" ref="I5:I15" si="1">G5-H5</f>
        <v>6.5</v>
      </c>
      <c r="J5" s="1">
        <f t="shared" ref="J5:J15" si="2">I5/F5</f>
        <v>0.23636363636363636</v>
      </c>
    </row>
    <row r="6" spans="1:10" x14ac:dyDescent="0.3">
      <c r="B6">
        <v>2</v>
      </c>
      <c r="C6" s="73">
        <v>31</v>
      </c>
      <c r="D6">
        <v>31</v>
      </c>
      <c r="E6">
        <v>0</v>
      </c>
      <c r="F6">
        <f t="shared" si="0"/>
        <v>31</v>
      </c>
      <c r="G6">
        <v>10</v>
      </c>
      <c r="H6">
        <v>2.5</v>
      </c>
      <c r="I6">
        <f t="shared" si="1"/>
        <v>7.5</v>
      </c>
      <c r="J6" s="1">
        <f t="shared" si="2"/>
        <v>0.24193548387096775</v>
      </c>
    </row>
    <row r="7" spans="1:10" x14ac:dyDescent="0.3">
      <c r="B7">
        <v>2</v>
      </c>
      <c r="C7" s="73">
        <v>28</v>
      </c>
      <c r="D7">
        <v>27.5</v>
      </c>
      <c r="E7">
        <v>0</v>
      </c>
      <c r="F7">
        <f t="shared" si="0"/>
        <v>28</v>
      </c>
      <c r="G7">
        <v>9</v>
      </c>
      <c r="H7">
        <v>2.5</v>
      </c>
      <c r="I7">
        <f t="shared" si="1"/>
        <v>6.5</v>
      </c>
      <c r="J7" s="1">
        <f t="shared" si="2"/>
        <v>0.23214285714285715</v>
      </c>
    </row>
    <row r="8" spans="1:10" x14ac:dyDescent="0.3">
      <c r="B8">
        <v>3</v>
      </c>
      <c r="C8" s="73">
        <v>31</v>
      </c>
      <c r="D8" s="77">
        <v>30</v>
      </c>
      <c r="E8">
        <v>1</v>
      </c>
      <c r="F8">
        <f t="shared" si="0"/>
        <v>30</v>
      </c>
      <c r="G8">
        <v>10</v>
      </c>
      <c r="H8">
        <v>2.5</v>
      </c>
      <c r="I8">
        <f t="shared" si="1"/>
        <v>7.5</v>
      </c>
      <c r="J8" s="1">
        <f t="shared" si="2"/>
        <v>0.25</v>
      </c>
    </row>
    <row r="9" spans="1:10" x14ac:dyDescent="0.3">
      <c r="B9">
        <v>3</v>
      </c>
      <c r="C9" s="73">
        <v>32</v>
      </c>
      <c r="D9">
        <v>28.5</v>
      </c>
      <c r="E9">
        <v>1</v>
      </c>
      <c r="F9">
        <f t="shared" si="0"/>
        <v>31</v>
      </c>
      <c r="G9">
        <v>9.5</v>
      </c>
      <c r="H9">
        <v>2.5</v>
      </c>
      <c r="I9">
        <f t="shared" si="1"/>
        <v>7</v>
      </c>
      <c r="J9" s="1">
        <f t="shared" si="2"/>
        <v>0.22580645161290322</v>
      </c>
    </row>
    <row r="10" spans="1:10" x14ac:dyDescent="0.3">
      <c r="B10">
        <v>4</v>
      </c>
      <c r="C10" s="73">
        <v>28</v>
      </c>
      <c r="D10">
        <v>25.5</v>
      </c>
      <c r="E10">
        <v>1</v>
      </c>
      <c r="F10">
        <f t="shared" si="0"/>
        <v>27</v>
      </c>
      <c r="G10">
        <v>9</v>
      </c>
      <c r="H10">
        <v>2.5</v>
      </c>
      <c r="I10">
        <f t="shared" si="1"/>
        <v>6.5</v>
      </c>
      <c r="J10" s="1">
        <f t="shared" si="2"/>
        <v>0.24074074074074073</v>
      </c>
    </row>
    <row r="11" spans="1:10" x14ac:dyDescent="0.3">
      <c r="B11">
        <v>4</v>
      </c>
      <c r="C11" s="73">
        <v>28.5</v>
      </c>
      <c r="D11">
        <v>28</v>
      </c>
      <c r="E11">
        <v>1.5</v>
      </c>
      <c r="F11">
        <f t="shared" si="0"/>
        <v>27</v>
      </c>
      <c r="G11">
        <v>9</v>
      </c>
      <c r="H11">
        <v>2.5</v>
      </c>
      <c r="I11">
        <f t="shared" si="1"/>
        <v>6.5</v>
      </c>
      <c r="J11" s="1">
        <f t="shared" si="2"/>
        <v>0.24074074074074073</v>
      </c>
    </row>
    <row r="12" spans="1:10" x14ac:dyDescent="0.3">
      <c r="B12">
        <v>5</v>
      </c>
      <c r="C12" s="73">
        <v>29</v>
      </c>
      <c r="D12">
        <v>28.5</v>
      </c>
      <c r="E12">
        <v>1</v>
      </c>
      <c r="F12">
        <f t="shared" si="0"/>
        <v>28</v>
      </c>
      <c r="G12">
        <v>9.5</v>
      </c>
      <c r="H12">
        <v>2.5</v>
      </c>
      <c r="I12">
        <f t="shared" si="1"/>
        <v>7</v>
      </c>
      <c r="J12" s="1">
        <f t="shared" si="2"/>
        <v>0.25</v>
      </c>
    </row>
    <row r="13" spans="1:10" x14ac:dyDescent="0.3">
      <c r="B13">
        <v>5</v>
      </c>
      <c r="C13" s="73">
        <v>28.5</v>
      </c>
      <c r="D13">
        <v>27.5</v>
      </c>
      <c r="E13">
        <v>1</v>
      </c>
      <c r="F13">
        <f>C13-E13</f>
        <v>27.5</v>
      </c>
      <c r="G13">
        <v>9</v>
      </c>
      <c r="H13">
        <v>2.5</v>
      </c>
      <c r="I13">
        <f t="shared" si="1"/>
        <v>6.5</v>
      </c>
      <c r="J13" s="1">
        <f t="shared" si="2"/>
        <v>0.23636363636363636</v>
      </c>
    </row>
    <row r="14" spans="1:10" x14ac:dyDescent="0.3">
      <c r="B14">
        <v>6</v>
      </c>
      <c r="C14" s="73">
        <v>29</v>
      </c>
      <c r="D14">
        <v>27</v>
      </c>
      <c r="E14">
        <v>1.5</v>
      </c>
      <c r="F14">
        <f t="shared" si="0"/>
        <v>27.5</v>
      </c>
      <c r="G14">
        <v>9</v>
      </c>
      <c r="H14">
        <v>2.5</v>
      </c>
      <c r="I14">
        <f t="shared" si="1"/>
        <v>6.5</v>
      </c>
      <c r="J14" s="1">
        <f t="shared" si="2"/>
        <v>0.23636363636363636</v>
      </c>
    </row>
    <row r="15" spans="1:10" x14ac:dyDescent="0.3">
      <c r="B15">
        <v>6</v>
      </c>
      <c r="C15" s="73">
        <v>28.5</v>
      </c>
      <c r="D15">
        <v>28</v>
      </c>
      <c r="E15">
        <v>1</v>
      </c>
      <c r="F15">
        <f t="shared" si="0"/>
        <v>27.5</v>
      </c>
      <c r="G15">
        <v>9</v>
      </c>
      <c r="H15">
        <v>2.5</v>
      </c>
      <c r="I15">
        <f t="shared" si="1"/>
        <v>6.5</v>
      </c>
      <c r="J15" s="1">
        <f t="shared" si="2"/>
        <v>0.23636363636363636</v>
      </c>
    </row>
    <row r="16" spans="1:10" x14ac:dyDescent="0.3">
      <c r="B16" s="3" t="s">
        <v>7</v>
      </c>
      <c r="C16" s="25">
        <f t="shared" ref="C16:J16" si="3">SUM(C4:C15)/12</f>
        <v>29.25</v>
      </c>
      <c r="D16" s="25">
        <f>SUM(D4:D15)/12</f>
        <v>28.125</v>
      </c>
      <c r="E16" s="25">
        <f>SUM(E4:E15)/12</f>
        <v>0.95833333333333337</v>
      </c>
      <c r="F16" s="25">
        <f>SUM(F4:F15)/12</f>
        <v>28.291666666666668</v>
      </c>
      <c r="G16" s="25">
        <f t="shared" si="3"/>
        <v>9.25</v>
      </c>
      <c r="H16" s="25">
        <f t="shared" si="3"/>
        <v>2.5</v>
      </c>
      <c r="I16" s="62">
        <f t="shared" si="3"/>
        <v>6.75</v>
      </c>
      <c r="J16" s="2">
        <f t="shared" si="3"/>
        <v>0.2385987046605326</v>
      </c>
    </row>
    <row r="17" spans="1:11" x14ac:dyDescent="0.3">
      <c r="C17" s="13">
        <f>CONVERT(C16,"in","m")</f>
        <v>0.74295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76" t="s">
        <v>17</v>
      </c>
      <c r="B20" s="65" t="s">
        <v>81</v>
      </c>
      <c r="C20" s="65">
        <v>6.26</v>
      </c>
      <c r="D20" s="5" t="s">
        <v>93</v>
      </c>
      <c r="E20" s="5"/>
    </row>
    <row r="21" spans="1:11" x14ac:dyDescent="0.3">
      <c r="A21" s="27" t="s">
        <v>18</v>
      </c>
      <c r="B21" s="65" t="s">
        <v>81</v>
      </c>
      <c r="C21" s="65">
        <v>5.7869999999999999</v>
      </c>
      <c r="D21" s="5"/>
      <c r="E21" s="5"/>
    </row>
    <row r="22" spans="1:11" ht="15" thickBot="1" x14ac:dyDescent="0.35">
      <c r="A22" s="27" t="s">
        <v>39</v>
      </c>
      <c r="B22" s="27" t="s">
        <v>81</v>
      </c>
      <c r="C22" s="72">
        <f>AVERAGE(C20:C21)</f>
        <v>6.0235000000000003</v>
      </c>
      <c r="D22" s="5"/>
      <c r="E22" s="5"/>
    </row>
    <row r="23" spans="1:11" ht="36.6" customHeight="1" x14ac:dyDescent="0.3">
      <c r="A23" s="50" t="s">
        <v>14</v>
      </c>
      <c r="B23" s="68">
        <f>I16-((C20+C21)/2)</f>
        <v>0.7264999999999997</v>
      </c>
      <c r="C23" s="51" t="s">
        <v>25</v>
      </c>
      <c r="D23" s="52"/>
      <c r="E23" s="52" t="s">
        <v>15</v>
      </c>
      <c r="F23" s="53">
        <v>5.16E-2</v>
      </c>
      <c r="J23" t="s">
        <v>7</v>
      </c>
      <c r="K23" s="13">
        <f>AVERAGE(I4:I15)</f>
        <v>6.75</v>
      </c>
    </row>
    <row r="24" spans="1:11" ht="15" thickBot="1" x14ac:dyDescent="0.35">
      <c r="A24" s="10"/>
      <c r="B24" s="69">
        <f>CONVERT(B23,"in","mm")</f>
        <v>18.453099999999989</v>
      </c>
      <c r="C24" s="11" t="s">
        <v>26</v>
      </c>
      <c r="D24" s="54"/>
      <c r="E24" s="54" t="s">
        <v>53</v>
      </c>
      <c r="F24" s="55">
        <v>4.8000000000000001E-2</v>
      </c>
      <c r="J24" t="s">
        <v>20</v>
      </c>
      <c r="K24" s="13">
        <f>STDEVA(I4:I15)</f>
        <v>0.3988620176087328</v>
      </c>
    </row>
    <row r="25" spans="1:11" ht="15" thickBot="1" x14ac:dyDescent="0.35">
      <c r="J25" t="s">
        <v>21</v>
      </c>
      <c r="K25" s="13">
        <f>VARA(I4:I15)</f>
        <v>0.15909090909090909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0.70002399999999998</v>
      </c>
      <c r="C27" s="65">
        <v>27.56</v>
      </c>
      <c r="D27" s="67"/>
    </row>
    <row r="28" spans="1:11" x14ac:dyDescent="0.3">
      <c r="A28" s="36" t="s">
        <v>50</v>
      </c>
      <c r="B28" t="s">
        <v>81</v>
      </c>
      <c r="C28">
        <v>28</v>
      </c>
    </row>
    <row r="29" spans="1:11" x14ac:dyDescent="0.3">
      <c r="A29" s="74" t="s">
        <v>92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AFDC-0761-4B43-B7B1-A95EF8910196}">
  <sheetPr>
    <tabColor theme="7" tint="0.59999389629810485"/>
  </sheetPr>
  <dimension ref="A1:K31"/>
  <sheetViews>
    <sheetView workbookViewId="0">
      <selection activeCell="I20" sqref="I20"/>
    </sheetView>
  </sheetViews>
  <sheetFormatPr defaultRowHeight="14.4" x14ac:dyDescent="0.3"/>
  <cols>
    <col min="1" max="1" width="29.33203125" customWidth="1"/>
    <col min="2" max="2" width="8.21875" bestFit="1" customWidth="1"/>
    <col min="3" max="3" width="16.44140625" customWidth="1"/>
  </cols>
  <sheetData>
    <row r="1" spans="1:10" ht="52.2" customHeight="1" x14ac:dyDescent="0.3">
      <c r="A1" s="37" t="s">
        <v>100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ht="73.8" customHeight="1" x14ac:dyDescent="0.3">
      <c r="A2" s="37"/>
      <c r="J2" s="1"/>
    </row>
    <row r="3" spans="1:10" x14ac:dyDescent="0.3">
      <c r="J3" s="1"/>
    </row>
    <row r="4" spans="1:10" x14ac:dyDescent="0.3">
      <c r="B4">
        <v>1</v>
      </c>
      <c r="C4">
        <v>47.5</v>
      </c>
      <c r="D4">
        <v>43</v>
      </c>
      <c r="E4">
        <v>0</v>
      </c>
      <c r="F4">
        <f>C4-E4</f>
        <v>47.5</v>
      </c>
      <c r="G4">
        <v>31</v>
      </c>
      <c r="H4">
        <v>18.5</v>
      </c>
      <c r="I4">
        <f>G4-H4</f>
        <v>12.5</v>
      </c>
      <c r="J4" s="1">
        <f>I4/F4</f>
        <v>0.26315789473684209</v>
      </c>
    </row>
    <row r="5" spans="1:10" x14ac:dyDescent="0.3">
      <c r="B5">
        <v>1</v>
      </c>
      <c r="C5">
        <v>43.5</v>
      </c>
      <c r="D5">
        <v>42.5</v>
      </c>
      <c r="E5">
        <v>0</v>
      </c>
      <c r="F5">
        <f t="shared" ref="F5:F15" si="0">C5-E5</f>
        <v>43.5</v>
      </c>
      <c r="G5">
        <v>30.5</v>
      </c>
      <c r="H5">
        <v>18.5</v>
      </c>
      <c r="I5">
        <f t="shared" ref="I5:I15" si="1">G5-H5</f>
        <v>12</v>
      </c>
      <c r="J5" s="1">
        <f t="shared" ref="J5:J15" si="2">I5/F5</f>
        <v>0.27586206896551724</v>
      </c>
    </row>
    <row r="6" spans="1:10" x14ac:dyDescent="0.3">
      <c r="B6">
        <v>2</v>
      </c>
      <c r="C6" s="73">
        <v>47</v>
      </c>
      <c r="D6">
        <v>45</v>
      </c>
      <c r="E6">
        <v>1.5</v>
      </c>
      <c r="F6">
        <f t="shared" si="0"/>
        <v>45.5</v>
      </c>
      <c r="G6">
        <v>32</v>
      </c>
      <c r="H6">
        <v>18.5</v>
      </c>
      <c r="I6">
        <f t="shared" si="1"/>
        <v>13.5</v>
      </c>
      <c r="J6" s="1">
        <f t="shared" si="2"/>
        <v>0.2967032967032967</v>
      </c>
    </row>
    <row r="7" spans="1:10" x14ac:dyDescent="0.3">
      <c r="B7">
        <v>2</v>
      </c>
      <c r="C7" s="73">
        <v>43</v>
      </c>
      <c r="D7">
        <v>42</v>
      </c>
      <c r="E7">
        <v>0.5</v>
      </c>
      <c r="F7">
        <f t="shared" si="0"/>
        <v>42.5</v>
      </c>
      <c r="G7">
        <v>30</v>
      </c>
      <c r="H7">
        <v>18.5</v>
      </c>
      <c r="I7">
        <f t="shared" si="1"/>
        <v>11.5</v>
      </c>
      <c r="J7" s="1">
        <f t="shared" si="2"/>
        <v>0.27058823529411763</v>
      </c>
    </row>
    <row r="8" spans="1:10" x14ac:dyDescent="0.3">
      <c r="B8">
        <v>3</v>
      </c>
      <c r="C8" s="73">
        <v>46</v>
      </c>
      <c r="D8" s="77">
        <v>46</v>
      </c>
      <c r="E8">
        <v>1.5</v>
      </c>
      <c r="F8">
        <f t="shared" si="0"/>
        <v>44.5</v>
      </c>
      <c r="G8">
        <v>31.5</v>
      </c>
      <c r="H8">
        <v>18.5</v>
      </c>
      <c r="I8">
        <f t="shared" si="1"/>
        <v>13</v>
      </c>
      <c r="J8" s="1">
        <f t="shared" si="2"/>
        <v>0.29213483146067415</v>
      </c>
    </row>
    <row r="9" spans="1:10" x14ac:dyDescent="0.3">
      <c r="B9">
        <v>3</v>
      </c>
      <c r="C9" s="73">
        <v>46</v>
      </c>
      <c r="D9">
        <v>45</v>
      </c>
      <c r="E9">
        <v>1.5</v>
      </c>
      <c r="F9">
        <f t="shared" si="0"/>
        <v>44.5</v>
      </c>
      <c r="G9">
        <v>31</v>
      </c>
      <c r="H9">
        <v>19</v>
      </c>
      <c r="I9">
        <f t="shared" si="1"/>
        <v>12</v>
      </c>
      <c r="J9" s="1">
        <f t="shared" si="2"/>
        <v>0.2696629213483146</v>
      </c>
    </row>
    <row r="10" spans="1:10" x14ac:dyDescent="0.3">
      <c r="B10">
        <v>4</v>
      </c>
      <c r="C10" s="73">
        <v>44</v>
      </c>
      <c r="D10">
        <v>43.5</v>
      </c>
      <c r="E10">
        <v>1</v>
      </c>
      <c r="F10">
        <f t="shared" si="0"/>
        <v>43</v>
      </c>
      <c r="G10">
        <v>30.5</v>
      </c>
      <c r="H10">
        <v>19</v>
      </c>
      <c r="I10">
        <f t="shared" si="1"/>
        <v>11.5</v>
      </c>
      <c r="J10" s="1">
        <f t="shared" si="2"/>
        <v>0.26744186046511625</v>
      </c>
    </row>
    <row r="11" spans="1:10" x14ac:dyDescent="0.3">
      <c r="B11">
        <v>4</v>
      </c>
      <c r="C11" s="73">
        <v>44</v>
      </c>
      <c r="D11">
        <v>42.5</v>
      </c>
      <c r="E11">
        <v>1</v>
      </c>
      <c r="F11">
        <f t="shared" si="0"/>
        <v>43</v>
      </c>
      <c r="G11">
        <v>31</v>
      </c>
      <c r="H11">
        <v>19</v>
      </c>
      <c r="I11">
        <f t="shared" si="1"/>
        <v>12</v>
      </c>
      <c r="J11" s="1">
        <f t="shared" si="2"/>
        <v>0.27906976744186046</v>
      </c>
    </row>
    <row r="12" spans="1:10" x14ac:dyDescent="0.3">
      <c r="B12">
        <v>5</v>
      </c>
      <c r="C12" s="73">
        <v>46</v>
      </c>
      <c r="D12">
        <v>40</v>
      </c>
      <c r="E12">
        <v>1</v>
      </c>
      <c r="F12">
        <f t="shared" si="0"/>
        <v>45</v>
      </c>
      <c r="G12">
        <v>30.5</v>
      </c>
      <c r="H12">
        <v>19</v>
      </c>
      <c r="I12">
        <f t="shared" si="1"/>
        <v>11.5</v>
      </c>
      <c r="J12" s="1">
        <f t="shared" si="2"/>
        <v>0.25555555555555554</v>
      </c>
    </row>
    <row r="13" spans="1:10" x14ac:dyDescent="0.3">
      <c r="B13">
        <v>5</v>
      </c>
      <c r="C13" s="73">
        <v>46.5</v>
      </c>
      <c r="D13">
        <v>39.5</v>
      </c>
      <c r="E13">
        <v>0.5</v>
      </c>
      <c r="F13">
        <f>C13-E13</f>
        <v>46</v>
      </c>
      <c r="G13">
        <v>31</v>
      </c>
      <c r="H13">
        <v>19</v>
      </c>
      <c r="I13">
        <f t="shared" si="1"/>
        <v>12</v>
      </c>
      <c r="J13" s="1">
        <f t="shared" si="2"/>
        <v>0.2608695652173913</v>
      </c>
    </row>
    <row r="14" spans="1:10" x14ac:dyDescent="0.3">
      <c r="B14">
        <v>6</v>
      </c>
      <c r="C14" s="73">
        <v>43.5</v>
      </c>
      <c r="D14">
        <v>42</v>
      </c>
      <c r="E14">
        <v>0.5</v>
      </c>
      <c r="F14">
        <f t="shared" si="0"/>
        <v>43</v>
      </c>
      <c r="G14">
        <v>30.5</v>
      </c>
      <c r="H14">
        <v>19</v>
      </c>
      <c r="I14">
        <f t="shared" si="1"/>
        <v>11.5</v>
      </c>
      <c r="J14" s="1">
        <f t="shared" si="2"/>
        <v>0.26744186046511625</v>
      </c>
    </row>
    <row r="15" spans="1:10" x14ac:dyDescent="0.3">
      <c r="B15">
        <v>6</v>
      </c>
      <c r="C15" s="73">
        <v>43.5</v>
      </c>
      <c r="D15">
        <v>36.5</v>
      </c>
      <c r="E15">
        <v>0</v>
      </c>
      <c r="F15">
        <f t="shared" si="0"/>
        <v>43.5</v>
      </c>
      <c r="G15">
        <v>29.5</v>
      </c>
      <c r="H15">
        <v>19</v>
      </c>
      <c r="I15">
        <f t="shared" si="1"/>
        <v>10.5</v>
      </c>
      <c r="J15" s="1">
        <f t="shared" si="2"/>
        <v>0.2413793103448276</v>
      </c>
    </row>
    <row r="16" spans="1:10" x14ac:dyDescent="0.3">
      <c r="B16" s="3" t="s">
        <v>7</v>
      </c>
      <c r="C16" s="25">
        <f t="shared" ref="C16:J16" si="3">SUM(C4:C15)/12</f>
        <v>45.041666666666664</v>
      </c>
      <c r="D16" s="25">
        <f>SUM(D4:D15)/12</f>
        <v>42.291666666666664</v>
      </c>
      <c r="E16" s="25">
        <f>SUM(E4:E15)/12</f>
        <v>0.75</v>
      </c>
      <c r="F16" s="78">
        <f>SUM(F4:F15)/12</f>
        <v>44.291666666666664</v>
      </c>
      <c r="G16" s="25">
        <f t="shared" si="3"/>
        <v>30.75</v>
      </c>
      <c r="H16" s="25">
        <f t="shared" si="3"/>
        <v>18.791666666666668</v>
      </c>
      <c r="I16" s="62">
        <f t="shared" si="3"/>
        <v>11.958333333333334</v>
      </c>
      <c r="J16" s="2">
        <f t="shared" si="3"/>
        <v>0.26998893066655244</v>
      </c>
    </row>
    <row r="17" spans="1:11" x14ac:dyDescent="0.3">
      <c r="C17" s="13">
        <f>CONVERT(C16,"in","m")</f>
        <v>1.1440583333333332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76" t="s">
        <v>17</v>
      </c>
      <c r="B20" s="65" t="s">
        <v>81</v>
      </c>
      <c r="C20" s="65">
        <v>11.34</v>
      </c>
      <c r="D20" s="5" t="s">
        <v>93</v>
      </c>
      <c r="E20" s="5"/>
    </row>
    <row r="21" spans="1:11" x14ac:dyDescent="0.3">
      <c r="A21" s="27" t="s">
        <v>18</v>
      </c>
      <c r="B21" s="65" t="s">
        <v>81</v>
      </c>
      <c r="C21" s="65">
        <v>10.94</v>
      </c>
      <c r="D21" s="5"/>
      <c r="E21" s="5"/>
    </row>
    <row r="22" spans="1:11" ht="15" thickBot="1" x14ac:dyDescent="0.35">
      <c r="A22" s="27" t="s">
        <v>39</v>
      </c>
      <c r="B22" s="27" t="s">
        <v>81</v>
      </c>
      <c r="C22" s="72">
        <f>AVERAGE(C20:C21)</f>
        <v>11.14</v>
      </c>
      <c r="D22" s="5"/>
      <c r="E22" s="5"/>
    </row>
    <row r="23" spans="1:11" ht="36.6" customHeight="1" x14ac:dyDescent="0.3">
      <c r="A23" s="50" t="s">
        <v>14</v>
      </c>
      <c r="B23" s="68">
        <f>I16-((C20+C21)/2)</f>
        <v>0.81833333333333336</v>
      </c>
      <c r="C23" s="51" t="s">
        <v>25</v>
      </c>
      <c r="D23" s="52"/>
      <c r="E23" s="52" t="s">
        <v>15</v>
      </c>
      <c r="F23" s="53">
        <v>5.16E-2</v>
      </c>
      <c r="J23" t="s">
        <v>7</v>
      </c>
      <c r="K23" s="13">
        <f>AVERAGE(I4:I15)</f>
        <v>11.958333333333334</v>
      </c>
    </row>
    <row r="24" spans="1:11" ht="15" thickBot="1" x14ac:dyDescent="0.35">
      <c r="A24" s="10"/>
      <c r="B24" s="69">
        <f>CONVERT(B23,"in","mm")</f>
        <v>20.785666666666668</v>
      </c>
      <c r="C24" s="11" t="s">
        <v>26</v>
      </c>
      <c r="D24" s="54"/>
      <c r="E24" s="54" t="s">
        <v>53</v>
      </c>
      <c r="F24" s="55">
        <v>4.8000000000000001E-2</v>
      </c>
      <c r="J24" t="s">
        <v>20</v>
      </c>
      <c r="K24" s="13">
        <f>STDEVA(I4:I15)</f>
        <v>0.78213964497551469</v>
      </c>
    </row>
    <row r="25" spans="1:11" ht="15" thickBot="1" x14ac:dyDescent="0.35">
      <c r="J25" t="s">
        <v>21</v>
      </c>
      <c r="K25" s="13">
        <f>VARA(I4:I15)</f>
        <v>0.6117424242424242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1.0541</v>
      </c>
      <c r="C27" s="65">
        <v>41.5</v>
      </c>
      <c r="D27" s="67"/>
    </row>
    <row r="28" spans="1:11" x14ac:dyDescent="0.3">
      <c r="A28" s="36" t="s">
        <v>50</v>
      </c>
      <c r="B28" t="s">
        <v>81</v>
      </c>
      <c r="C28">
        <v>28</v>
      </c>
    </row>
    <row r="29" spans="1:11" x14ac:dyDescent="0.3">
      <c r="A29" s="74" t="s">
        <v>92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3042-2054-4907-A623-19E45937FE63}">
  <sheetPr>
    <tabColor theme="7" tint="0.59999389629810485"/>
  </sheetPr>
  <dimension ref="A1:K31"/>
  <sheetViews>
    <sheetView workbookViewId="0">
      <selection activeCell="C22" sqref="C22"/>
    </sheetView>
  </sheetViews>
  <sheetFormatPr defaultRowHeight="14.4" x14ac:dyDescent="0.3"/>
  <cols>
    <col min="1" max="1" width="29.33203125" customWidth="1"/>
    <col min="2" max="2" width="8.21875" bestFit="1" customWidth="1"/>
    <col min="3" max="3" width="16.44140625" customWidth="1"/>
  </cols>
  <sheetData>
    <row r="1" spans="1:10" ht="52.2" customHeight="1" x14ac:dyDescent="0.3">
      <c r="A1" s="37" t="s">
        <v>101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ht="73.8" customHeight="1" x14ac:dyDescent="0.3">
      <c r="A2" s="37"/>
      <c r="J2" s="1"/>
    </row>
    <row r="3" spans="1:10" x14ac:dyDescent="0.3">
      <c r="J3" s="1"/>
    </row>
    <row r="4" spans="1:10" x14ac:dyDescent="0.3">
      <c r="B4">
        <v>1</v>
      </c>
      <c r="C4">
        <v>49</v>
      </c>
      <c r="D4">
        <v>43</v>
      </c>
      <c r="E4">
        <v>0.5</v>
      </c>
      <c r="F4">
        <f>C4-E4</f>
        <v>48.5</v>
      </c>
      <c r="G4">
        <v>35</v>
      </c>
      <c r="H4">
        <v>19</v>
      </c>
      <c r="I4">
        <f>G4-H4</f>
        <v>16</v>
      </c>
      <c r="J4" s="1">
        <f>I4/F4</f>
        <v>0.32989690721649484</v>
      </c>
    </row>
    <row r="5" spans="1:10" x14ac:dyDescent="0.3">
      <c r="B5">
        <v>1</v>
      </c>
      <c r="C5">
        <v>48</v>
      </c>
      <c r="D5">
        <v>44</v>
      </c>
      <c r="E5">
        <v>1</v>
      </c>
      <c r="F5">
        <f t="shared" ref="F5:F15" si="0">C5-E5</f>
        <v>47</v>
      </c>
      <c r="G5">
        <v>34.5</v>
      </c>
      <c r="H5">
        <v>19</v>
      </c>
      <c r="I5">
        <f t="shared" ref="I5:I15" si="1">G5-H5</f>
        <v>15.5</v>
      </c>
      <c r="J5" s="1">
        <f t="shared" ref="J5:J15" si="2">I5/F5</f>
        <v>0.32978723404255317</v>
      </c>
    </row>
    <row r="6" spans="1:10" x14ac:dyDescent="0.3">
      <c r="B6">
        <v>2</v>
      </c>
      <c r="C6" s="73">
        <v>48</v>
      </c>
      <c r="D6">
        <v>44</v>
      </c>
      <c r="E6">
        <v>1</v>
      </c>
      <c r="F6">
        <f t="shared" si="0"/>
        <v>47</v>
      </c>
      <c r="G6">
        <v>33</v>
      </c>
      <c r="H6">
        <v>19</v>
      </c>
      <c r="I6">
        <f t="shared" si="1"/>
        <v>14</v>
      </c>
      <c r="J6" s="1">
        <f t="shared" si="2"/>
        <v>0.2978723404255319</v>
      </c>
    </row>
    <row r="7" spans="1:10" x14ac:dyDescent="0.3">
      <c r="B7">
        <v>2</v>
      </c>
      <c r="C7" s="73">
        <v>46</v>
      </c>
      <c r="D7">
        <v>44</v>
      </c>
      <c r="E7">
        <v>1</v>
      </c>
      <c r="F7">
        <f t="shared" si="0"/>
        <v>45</v>
      </c>
      <c r="G7">
        <v>33.5</v>
      </c>
      <c r="H7">
        <v>19</v>
      </c>
      <c r="I7">
        <f t="shared" si="1"/>
        <v>14.5</v>
      </c>
      <c r="J7" s="1">
        <f t="shared" si="2"/>
        <v>0.32222222222222224</v>
      </c>
    </row>
    <row r="8" spans="1:10" x14ac:dyDescent="0.3">
      <c r="B8">
        <v>3</v>
      </c>
      <c r="C8" s="73">
        <v>48.5</v>
      </c>
      <c r="D8" s="77">
        <v>42.5</v>
      </c>
      <c r="E8">
        <v>1</v>
      </c>
      <c r="F8">
        <f t="shared" si="0"/>
        <v>47.5</v>
      </c>
      <c r="G8">
        <v>33.5</v>
      </c>
      <c r="H8">
        <v>19</v>
      </c>
      <c r="I8">
        <f t="shared" si="1"/>
        <v>14.5</v>
      </c>
      <c r="J8" s="1">
        <f t="shared" si="2"/>
        <v>0.30526315789473685</v>
      </c>
    </row>
    <row r="9" spans="1:10" x14ac:dyDescent="0.3">
      <c r="B9">
        <v>3</v>
      </c>
      <c r="C9" s="73">
        <v>48</v>
      </c>
      <c r="D9">
        <v>45</v>
      </c>
      <c r="E9">
        <v>1</v>
      </c>
      <c r="F9">
        <f t="shared" si="0"/>
        <v>47</v>
      </c>
      <c r="G9">
        <v>34</v>
      </c>
      <c r="H9">
        <v>18.5</v>
      </c>
      <c r="I9">
        <f t="shared" si="1"/>
        <v>15.5</v>
      </c>
      <c r="J9" s="1">
        <f t="shared" si="2"/>
        <v>0.32978723404255317</v>
      </c>
    </row>
    <row r="10" spans="1:10" x14ac:dyDescent="0.3">
      <c r="B10">
        <v>4</v>
      </c>
      <c r="C10" s="73">
        <v>49</v>
      </c>
      <c r="D10">
        <v>43</v>
      </c>
      <c r="E10">
        <v>0</v>
      </c>
      <c r="F10">
        <f t="shared" si="0"/>
        <v>49</v>
      </c>
      <c r="G10">
        <v>33</v>
      </c>
      <c r="H10">
        <v>18.5</v>
      </c>
      <c r="I10">
        <f t="shared" si="1"/>
        <v>14.5</v>
      </c>
      <c r="J10" s="1">
        <f t="shared" si="2"/>
        <v>0.29591836734693877</v>
      </c>
    </row>
    <row r="11" spans="1:10" x14ac:dyDescent="0.3">
      <c r="B11">
        <v>4</v>
      </c>
      <c r="C11" s="73">
        <v>49</v>
      </c>
      <c r="D11">
        <v>47</v>
      </c>
      <c r="E11">
        <v>0.5</v>
      </c>
      <c r="F11">
        <f t="shared" si="0"/>
        <v>48.5</v>
      </c>
      <c r="G11">
        <v>35.5</v>
      </c>
      <c r="H11">
        <v>18.5</v>
      </c>
      <c r="I11">
        <f t="shared" si="1"/>
        <v>17</v>
      </c>
      <c r="J11" s="1">
        <f t="shared" si="2"/>
        <v>0.35051546391752575</v>
      </c>
    </row>
    <row r="12" spans="1:10" x14ac:dyDescent="0.3">
      <c r="B12">
        <v>5</v>
      </c>
      <c r="C12" s="73">
        <v>50.5</v>
      </c>
      <c r="D12">
        <v>44</v>
      </c>
      <c r="E12">
        <v>0.5</v>
      </c>
      <c r="F12">
        <f t="shared" si="0"/>
        <v>50</v>
      </c>
      <c r="G12">
        <v>35.5</v>
      </c>
      <c r="H12">
        <v>19</v>
      </c>
      <c r="I12">
        <f t="shared" si="1"/>
        <v>16.5</v>
      </c>
      <c r="J12" s="1">
        <f t="shared" si="2"/>
        <v>0.33</v>
      </c>
    </row>
    <row r="13" spans="1:10" x14ac:dyDescent="0.3">
      <c r="B13">
        <v>5</v>
      </c>
      <c r="C13" s="73">
        <v>51.5</v>
      </c>
      <c r="D13">
        <v>45</v>
      </c>
      <c r="E13">
        <v>0.5</v>
      </c>
      <c r="F13">
        <f>C13-E13</f>
        <v>51</v>
      </c>
      <c r="G13">
        <v>35</v>
      </c>
      <c r="H13">
        <v>19</v>
      </c>
      <c r="I13">
        <f t="shared" si="1"/>
        <v>16</v>
      </c>
      <c r="J13" s="1">
        <f t="shared" si="2"/>
        <v>0.31372549019607843</v>
      </c>
    </row>
    <row r="14" spans="1:10" x14ac:dyDescent="0.3">
      <c r="B14">
        <v>6</v>
      </c>
      <c r="C14" s="73">
        <v>48</v>
      </c>
      <c r="D14">
        <v>44</v>
      </c>
      <c r="E14">
        <v>0.5</v>
      </c>
      <c r="F14">
        <f t="shared" si="0"/>
        <v>47.5</v>
      </c>
      <c r="G14">
        <v>34</v>
      </c>
      <c r="H14">
        <v>19</v>
      </c>
      <c r="I14">
        <f t="shared" si="1"/>
        <v>15</v>
      </c>
      <c r="J14" s="1">
        <f t="shared" si="2"/>
        <v>0.31578947368421051</v>
      </c>
    </row>
    <row r="15" spans="1:10" x14ac:dyDescent="0.3">
      <c r="B15">
        <v>6</v>
      </c>
      <c r="C15" s="73">
        <v>50</v>
      </c>
      <c r="D15">
        <v>47</v>
      </c>
      <c r="E15">
        <v>0</v>
      </c>
      <c r="F15">
        <f t="shared" si="0"/>
        <v>50</v>
      </c>
      <c r="G15">
        <v>35.5</v>
      </c>
      <c r="H15">
        <v>19</v>
      </c>
      <c r="I15">
        <f t="shared" si="1"/>
        <v>16.5</v>
      </c>
      <c r="J15" s="1">
        <f t="shared" si="2"/>
        <v>0.33</v>
      </c>
    </row>
    <row r="16" spans="1:10" x14ac:dyDescent="0.3">
      <c r="B16" s="3" t="s">
        <v>7</v>
      </c>
      <c r="C16" s="25">
        <f t="shared" ref="C16:J16" si="3">SUM(C4:C15)/12</f>
        <v>48.791666666666664</v>
      </c>
      <c r="D16" s="25">
        <f>SUM(D4:D15)/12</f>
        <v>44.375</v>
      </c>
      <c r="E16" s="25">
        <f>SUM(E4:E15)/12</f>
        <v>0.625</v>
      </c>
      <c r="F16" s="78">
        <f>SUM(F4:F15)/12</f>
        <v>48.166666666666664</v>
      </c>
      <c r="G16" s="25">
        <f t="shared" si="3"/>
        <v>34.333333333333336</v>
      </c>
      <c r="H16" s="25">
        <f t="shared" si="3"/>
        <v>18.875</v>
      </c>
      <c r="I16" s="62">
        <f t="shared" si="3"/>
        <v>15.458333333333334</v>
      </c>
      <c r="J16" s="2">
        <f t="shared" si="3"/>
        <v>0.32089815758240386</v>
      </c>
    </row>
    <row r="17" spans="1:11" x14ac:dyDescent="0.3">
      <c r="C17" s="13">
        <f>CONVERT(C16,"in","m")</f>
        <v>1.2393083333333332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76" t="s">
        <v>17</v>
      </c>
      <c r="B20" s="65" t="s">
        <v>81</v>
      </c>
      <c r="C20" s="65">
        <v>14.29</v>
      </c>
      <c r="D20" s="5" t="s">
        <v>93</v>
      </c>
      <c r="E20" s="5"/>
    </row>
    <row r="21" spans="1:11" x14ac:dyDescent="0.3">
      <c r="A21" s="27" t="s">
        <v>18</v>
      </c>
      <c r="B21" s="65" t="s">
        <v>81</v>
      </c>
      <c r="C21" s="65">
        <v>13.39</v>
      </c>
      <c r="D21" s="5"/>
      <c r="E21" s="5"/>
    </row>
    <row r="22" spans="1:11" ht="15" thickBot="1" x14ac:dyDescent="0.35">
      <c r="A22" s="27" t="s">
        <v>39</v>
      </c>
      <c r="B22" s="27" t="s">
        <v>81</v>
      </c>
      <c r="C22" s="72">
        <f>AVERAGE(C20:C21)</f>
        <v>13.84</v>
      </c>
      <c r="D22" s="5"/>
      <c r="E22" s="5"/>
    </row>
    <row r="23" spans="1:11" ht="36.6" customHeight="1" x14ac:dyDescent="0.3">
      <c r="A23" s="50" t="s">
        <v>14</v>
      </c>
      <c r="B23" s="68">
        <f>I16-((C20+C21)/2)</f>
        <v>1.6183333333333341</v>
      </c>
      <c r="C23" s="51" t="s">
        <v>25</v>
      </c>
      <c r="D23" s="52"/>
      <c r="E23" s="52" t="s">
        <v>15</v>
      </c>
      <c r="F23" s="53">
        <v>5.16E-2</v>
      </c>
      <c r="J23" t="s">
        <v>7</v>
      </c>
      <c r="K23" s="13">
        <f>AVERAGE(I4:I15)</f>
        <v>15.458333333333334</v>
      </c>
    </row>
    <row r="24" spans="1:11" ht="15" thickBot="1" x14ac:dyDescent="0.35">
      <c r="A24" s="10"/>
      <c r="B24" s="69">
        <f>CONVERT(B23,"in","mm")</f>
        <v>41.105666666666686</v>
      </c>
      <c r="C24" s="11" t="s">
        <v>26</v>
      </c>
      <c r="D24" s="54"/>
      <c r="E24" s="54" t="s">
        <v>53</v>
      </c>
      <c r="F24" s="55">
        <v>4.8000000000000001E-2</v>
      </c>
      <c r="J24" t="s">
        <v>20</v>
      </c>
      <c r="K24" s="13">
        <f>STDEVA(I4:I15)</f>
        <v>0.96432579682607378</v>
      </c>
    </row>
    <row r="25" spans="1:11" ht="15" thickBot="1" x14ac:dyDescent="0.35">
      <c r="J25" t="s">
        <v>21</v>
      </c>
      <c r="K25" s="13">
        <f>VARA(I4:I15)</f>
        <v>0.92992424242424221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1.1630659999999999</v>
      </c>
      <c r="C27" s="65">
        <v>45.79</v>
      </c>
      <c r="D27" s="67"/>
    </row>
    <row r="28" spans="1:11" x14ac:dyDescent="0.3">
      <c r="A28" s="36" t="s">
        <v>50</v>
      </c>
      <c r="B28" t="s">
        <v>81</v>
      </c>
      <c r="C28">
        <v>28</v>
      </c>
    </row>
    <row r="29" spans="1:11" x14ac:dyDescent="0.3">
      <c r="A29" s="74" t="s">
        <v>92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8A61-93B0-41F6-B310-611A3CF0C951}">
  <sheetPr>
    <tabColor rgb="FF00B0F0"/>
  </sheetPr>
  <dimension ref="A1:K31"/>
  <sheetViews>
    <sheetView workbookViewId="0">
      <selection activeCell="I30" sqref="I30"/>
    </sheetView>
  </sheetViews>
  <sheetFormatPr defaultRowHeight="14.4" x14ac:dyDescent="0.3"/>
  <cols>
    <col min="1" max="1" width="29.33203125" customWidth="1"/>
    <col min="2" max="2" width="8.21875" bestFit="1" customWidth="1"/>
    <col min="3" max="3" width="16.44140625" customWidth="1"/>
  </cols>
  <sheetData>
    <row r="1" spans="1:10" ht="52.2" customHeight="1" x14ac:dyDescent="0.3">
      <c r="A1" s="37" t="s">
        <v>94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ht="73.8" customHeight="1" x14ac:dyDescent="0.3">
      <c r="A2" s="37" t="s">
        <v>97</v>
      </c>
      <c r="J2" s="1"/>
    </row>
    <row r="3" spans="1:10" x14ac:dyDescent="0.3">
      <c r="J3" s="1"/>
    </row>
    <row r="4" spans="1:10" x14ac:dyDescent="0.3">
      <c r="B4">
        <v>1</v>
      </c>
      <c r="C4">
        <v>20.5</v>
      </c>
      <c r="D4">
        <v>17.5</v>
      </c>
      <c r="E4">
        <v>2</v>
      </c>
      <c r="F4">
        <f>C4-E4</f>
        <v>18.5</v>
      </c>
      <c r="G4">
        <v>9</v>
      </c>
      <c r="H4">
        <v>4</v>
      </c>
      <c r="I4">
        <f>G4-H4</f>
        <v>5</v>
      </c>
      <c r="J4" s="1">
        <f>I4/F4</f>
        <v>0.27027027027027029</v>
      </c>
    </row>
    <row r="5" spans="1:10" x14ac:dyDescent="0.3">
      <c r="B5">
        <v>1</v>
      </c>
      <c r="C5">
        <v>20.5</v>
      </c>
      <c r="D5">
        <v>19.5</v>
      </c>
      <c r="E5">
        <v>2</v>
      </c>
      <c r="F5">
        <f t="shared" ref="F5:F15" si="0">C5-E5</f>
        <v>18.5</v>
      </c>
      <c r="G5">
        <v>9.5</v>
      </c>
      <c r="H5">
        <v>4</v>
      </c>
      <c r="I5">
        <f t="shared" ref="I5:I15" si="1">G5-H5</f>
        <v>5.5</v>
      </c>
      <c r="J5" s="1">
        <f t="shared" ref="J5:J15" si="2">I5/F5</f>
        <v>0.29729729729729731</v>
      </c>
    </row>
    <row r="6" spans="1:10" x14ac:dyDescent="0.3">
      <c r="B6">
        <v>2</v>
      </c>
      <c r="C6" s="73">
        <v>20.5</v>
      </c>
      <c r="D6">
        <v>18</v>
      </c>
      <c r="E6">
        <v>1</v>
      </c>
      <c r="F6">
        <f t="shared" si="0"/>
        <v>19.5</v>
      </c>
      <c r="G6">
        <v>9</v>
      </c>
      <c r="H6">
        <v>3</v>
      </c>
      <c r="I6">
        <f t="shared" si="1"/>
        <v>6</v>
      </c>
      <c r="J6" s="1">
        <f t="shared" si="2"/>
        <v>0.30769230769230771</v>
      </c>
    </row>
    <row r="7" spans="1:10" x14ac:dyDescent="0.3">
      <c r="B7">
        <v>2</v>
      </c>
      <c r="C7" s="73">
        <v>17.5</v>
      </c>
      <c r="D7">
        <v>16</v>
      </c>
      <c r="E7">
        <v>1</v>
      </c>
      <c r="F7">
        <f t="shared" si="0"/>
        <v>16.5</v>
      </c>
      <c r="G7">
        <v>8</v>
      </c>
      <c r="H7">
        <v>3</v>
      </c>
      <c r="I7">
        <f t="shared" si="1"/>
        <v>5</v>
      </c>
      <c r="J7" s="1">
        <f t="shared" si="2"/>
        <v>0.30303030303030304</v>
      </c>
    </row>
    <row r="8" spans="1:10" x14ac:dyDescent="0.3">
      <c r="B8">
        <v>3</v>
      </c>
      <c r="C8" s="73">
        <v>19</v>
      </c>
      <c r="D8" s="77">
        <v>15</v>
      </c>
      <c r="E8">
        <v>1</v>
      </c>
      <c r="F8">
        <f t="shared" si="0"/>
        <v>18</v>
      </c>
      <c r="G8">
        <v>8</v>
      </c>
      <c r="H8">
        <v>3</v>
      </c>
      <c r="I8">
        <f t="shared" si="1"/>
        <v>5</v>
      </c>
      <c r="J8" s="1">
        <f t="shared" si="2"/>
        <v>0.27777777777777779</v>
      </c>
    </row>
    <row r="9" spans="1:10" x14ac:dyDescent="0.3">
      <c r="B9">
        <v>3</v>
      </c>
      <c r="C9" s="73">
        <v>17</v>
      </c>
      <c r="D9">
        <v>15</v>
      </c>
      <c r="E9">
        <v>0</v>
      </c>
      <c r="F9">
        <f t="shared" si="0"/>
        <v>17</v>
      </c>
      <c r="G9">
        <v>7.5</v>
      </c>
      <c r="H9">
        <v>2.5</v>
      </c>
      <c r="I9">
        <f t="shared" si="1"/>
        <v>5</v>
      </c>
      <c r="J9" s="1">
        <f t="shared" si="2"/>
        <v>0.29411764705882354</v>
      </c>
    </row>
    <row r="10" spans="1:10" x14ac:dyDescent="0.3">
      <c r="B10">
        <v>4</v>
      </c>
      <c r="C10" s="73">
        <v>20.5</v>
      </c>
      <c r="D10">
        <v>18</v>
      </c>
      <c r="E10">
        <v>1.5</v>
      </c>
      <c r="F10">
        <f t="shared" si="0"/>
        <v>19</v>
      </c>
      <c r="G10">
        <v>8.5</v>
      </c>
      <c r="H10">
        <v>2.5</v>
      </c>
      <c r="I10">
        <f t="shared" si="1"/>
        <v>6</v>
      </c>
      <c r="J10" s="1">
        <f t="shared" si="2"/>
        <v>0.31578947368421051</v>
      </c>
    </row>
    <row r="11" spans="1:10" x14ac:dyDescent="0.3">
      <c r="B11">
        <v>4</v>
      </c>
      <c r="C11" s="73">
        <v>20.5</v>
      </c>
      <c r="D11">
        <v>17.5</v>
      </c>
      <c r="E11">
        <v>0.5</v>
      </c>
      <c r="F11">
        <f t="shared" si="0"/>
        <v>20</v>
      </c>
      <c r="G11">
        <v>8.5</v>
      </c>
      <c r="H11">
        <v>2.5</v>
      </c>
      <c r="I11">
        <f t="shared" si="1"/>
        <v>6</v>
      </c>
      <c r="J11" s="1">
        <f t="shared" si="2"/>
        <v>0.3</v>
      </c>
    </row>
    <row r="12" spans="1:10" x14ac:dyDescent="0.3">
      <c r="B12">
        <v>5</v>
      </c>
      <c r="C12" s="73">
        <v>22</v>
      </c>
      <c r="D12">
        <v>19</v>
      </c>
      <c r="E12">
        <v>0.5</v>
      </c>
      <c r="F12">
        <f t="shared" si="0"/>
        <v>21.5</v>
      </c>
      <c r="G12">
        <v>9</v>
      </c>
      <c r="H12">
        <v>2.5</v>
      </c>
      <c r="I12">
        <f t="shared" si="1"/>
        <v>6.5</v>
      </c>
      <c r="J12" s="1">
        <f t="shared" si="2"/>
        <v>0.30232558139534882</v>
      </c>
    </row>
    <row r="13" spans="1:10" x14ac:dyDescent="0.3">
      <c r="B13">
        <v>5</v>
      </c>
      <c r="C13" s="73">
        <v>22.5</v>
      </c>
      <c r="D13">
        <v>20</v>
      </c>
      <c r="E13">
        <v>1</v>
      </c>
      <c r="F13">
        <f>C13-E13</f>
        <v>21.5</v>
      </c>
      <c r="G13">
        <v>9</v>
      </c>
      <c r="H13">
        <v>2.5</v>
      </c>
      <c r="I13">
        <f t="shared" si="1"/>
        <v>6.5</v>
      </c>
      <c r="J13" s="1">
        <f t="shared" si="2"/>
        <v>0.30232558139534882</v>
      </c>
    </row>
    <row r="14" spans="1:10" x14ac:dyDescent="0.3">
      <c r="B14">
        <v>6</v>
      </c>
      <c r="C14" s="73">
        <v>23</v>
      </c>
      <c r="D14">
        <v>17.5</v>
      </c>
      <c r="E14">
        <v>0.5</v>
      </c>
      <c r="F14">
        <f t="shared" si="0"/>
        <v>22.5</v>
      </c>
      <c r="G14">
        <v>8</v>
      </c>
      <c r="H14">
        <v>2</v>
      </c>
      <c r="I14">
        <f t="shared" si="1"/>
        <v>6</v>
      </c>
      <c r="J14" s="1">
        <f t="shared" si="2"/>
        <v>0.26666666666666666</v>
      </c>
    </row>
    <row r="15" spans="1:10" x14ac:dyDescent="0.3">
      <c r="B15">
        <v>6</v>
      </c>
      <c r="C15" s="73">
        <v>20.5</v>
      </c>
      <c r="D15">
        <v>17.5</v>
      </c>
      <c r="E15">
        <v>5</v>
      </c>
      <c r="F15">
        <f t="shared" si="0"/>
        <v>15.5</v>
      </c>
      <c r="G15">
        <v>8.5</v>
      </c>
      <c r="H15">
        <v>2</v>
      </c>
      <c r="I15">
        <f t="shared" si="1"/>
        <v>6.5</v>
      </c>
      <c r="J15" s="1">
        <f t="shared" si="2"/>
        <v>0.41935483870967744</v>
      </c>
    </row>
    <row r="16" spans="1:10" x14ac:dyDescent="0.3">
      <c r="B16" s="3" t="s">
        <v>7</v>
      </c>
      <c r="C16" s="25">
        <f t="shared" ref="C16:J16" si="3">SUM(C4:C15)/12</f>
        <v>20.333333333333332</v>
      </c>
      <c r="D16" s="25">
        <f t="shared" si="3"/>
        <v>17.541666666666668</v>
      </c>
      <c r="E16" s="25">
        <f t="shared" si="3"/>
        <v>1.3333333333333333</v>
      </c>
      <c r="F16" s="25">
        <f t="shared" si="3"/>
        <v>19</v>
      </c>
      <c r="G16" s="25">
        <f t="shared" si="3"/>
        <v>8.5416666666666661</v>
      </c>
      <c r="H16" s="25">
        <f t="shared" si="3"/>
        <v>2.7916666666666665</v>
      </c>
      <c r="I16" s="62">
        <f t="shared" si="3"/>
        <v>5.75</v>
      </c>
      <c r="J16" s="2">
        <f t="shared" si="3"/>
        <v>0.30472064541483596</v>
      </c>
    </row>
    <row r="17" spans="1:11" x14ac:dyDescent="0.3">
      <c r="C17" s="13">
        <f>CONVERT(C16,"in","m")</f>
        <v>0.51646666666666663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76" t="s">
        <v>17</v>
      </c>
      <c r="B20" s="65" t="s">
        <v>81</v>
      </c>
      <c r="C20" s="65">
        <v>5.16</v>
      </c>
      <c r="D20" s="5" t="s">
        <v>93</v>
      </c>
      <c r="E20" s="5"/>
    </row>
    <row r="21" spans="1:11" x14ac:dyDescent="0.3">
      <c r="A21" s="27" t="s">
        <v>18</v>
      </c>
      <c r="B21" s="65" t="s">
        <v>81</v>
      </c>
      <c r="C21" s="65">
        <v>4.8</v>
      </c>
      <c r="D21" s="5"/>
      <c r="E21" s="5"/>
    </row>
    <row r="22" spans="1:11" ht="15" thickBot="1" x14ac:dyDescent="0.35">
      <c r="A22" s="27" t="s">
        <v>39</v>
      </c>
      <c r="B22" s="27" t="s">
        <v>81</v>
      </c>
      <c r="C22" s="72">
        <f>AVERAGE(C20:C21)</f>
        <v>4.9800000000000004</v>
      </c>
      <c r="D22" s="5"/>
      <c r="E22" s="5"/>
    </row>
    <row r="23" spans="1:11" ht="36.6" customHeight="1" x14ac:dyDescent="0.3">
      <c r="A23" s="50" t="s">
        <v>14</v>
      </c>
      <c r="B23" s="68">
        <f>I16-((C20+C21)/2)</f>
        <v>0.76999999999999957</v>
      </c>
      <c r="C23" s="51" t="s">
        <v>95</v>
      </c>
      <c r="D23" s="52"/>
      <c r="E23" s="52" t="s">
        <v>15</v>
      </c>
      <c r="F23" s="53">
        <v>5.16E-2</v>
      </c>
      <c r="J23" t="s">
        <v>7</v>
      </c>
      <c r="K23" s="13">
        <f>AVERAGE(I4:I15)</f>
        <v>5.75</v>
      </c>
    </row>
    <row r="24" spans="1:11" ht="15" thickBot="1" x14ac:dyDescent="0.35">
      <c r="A24" s="10"/>
      <c r="B24" s="69">
        <f>CONVERT(B23,"in","mm")</f>
        <v>19.557999999999989</v>
      </c>
      <c r="C24" s="11" t="s">
        <v>96</v>
      </c>
      <c r="D24" s="54"/>
      <c r="E24" s="54" t="s">
        <v>53</v>
      </c>
      <c r="F24" s="55">
        <v>4.8000000000000001E-2</v>
      </c>
      <c r="J24" t="s">
        <v>20</v>
      </c>
      <c r="K24" s="13">
        <f>STDEVA(I4:I15)</f>
        <v>0.62158156050806102</v>
      </c>
    </row>
    <row r="25" spans="1:11" ht="15" thickBot="1" x14ac:dyDescent="0.35">
      <c r="J25" t="s">
        <v>21</v>
      </c>
      <c r="K25" s="13">
        <f>VARA(I4:I15)</f>
        <v>0.38636363636363635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0.443992</v>
      </c>
      <c r="C27" s="65">
        <v>17.48</v>
      </c>
      <c r="D27" s="67"/>
    </row>
    <row r="28" spans="1:11" x14ac:dyDescent="0.3">
      <c r="A28" s="36" t="s">
        <v>50</v>
      </c>
      <c r="B28" t="s">
        <v>81</v>
      </c>
      <c r="C28">
        <v>19</v>
      </c>
    </row>
    <row r="29" spans="1:11" x14ac:dyDescent="0.3">
      <c r="A29" s="74" t="s">
        <v>92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1888-B9EC-4197-8DB4-14E4D5001123}">
  <sheetPr>
    <tabColor rgb="FF00B0F0"/>
  </sheetPr>
  <dimension ref="A1:K31"/>
  <sheetViews>
    <sheetView workbookViewId="0">
      <selection activeCell="E26" sqref="E26"/>
    </sheetView>
  </sheetViews>
  <sheetFormatPr defaultRowHeight="14.4" x14ac:dyDescent="0.3"/>
  <cols>
    <col min="1" max="1" width="29.33203125" customWidth="1"/>
    <col min="2" max="2" width="8.21875" bestFit="1" customWidth="1"/>
    <col min="3" max="3" width="16.44140625" customWidth="1"/>
  </cols>
  <sheetData>
    <row r="1" spans="1:10" ht="52.2" customHeight="1" x14ac:dyDescent="0.3">
      <c r="A1" s="37" t="s">
        <v>90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ht="73.8" customHeight="1" x14ac:dyDescent="0.3">
      <c r="A2" s="37" t="s">
        <v>91</v>
      </c>
      <c r="J2" s="1"/>
    </row>
    <row r="3" spans="1:10" x14ac:dyDescent="0.3">
      <c r="J3" s="1"/>
    </row>
    <row r="4" spans="1:10" x14ac:dyDescent="0.3">
      <c r="B4">
        <v>1</v>
      </c>
      <c r="C4">
        <v>46</v>
      </c>
      <c r="D4">
        <v>30</v>
      </c>
      <c r="E4">
        <v>1</v>
      </c>
      <c r="F4">
        <f>C4-E4</f>
        <v>45</v>
      </c>
      <c r="G4">
        <v>30</v>
      </c>
      <c r="H4">
        <v>18.5</v>
      </c>
      <c r="I4">
        <f>G4-H4</f>
        <v>11.5</v>
      </c>
      <c r="J4" s="1">
        <f>I4/F4</f>
        <v>0.25555555555555554</v>
      </c>
    </row>
    <row r="5" spans="1:10" x14ac:dyDescent="0.3">
      <c r="B5">
        <v>1</v>
      </c>
      <c r="C5">
        <v>47</v>
      </c>
      <c r="D5">
        <v>38</v>
      </c>
      <c r="E5">
        <v>1</v>
      </c>
      <c r="F5">
        <f t="shared" ref="F5:F15" si="0">C5-E5</f>
        <v>46</v>
      </c>
      <c r="G5">
        <v>29.5</v>
      </c>
      <c r="H5">
        <v>18.5</v>
      </c>
      <c r="I5">
        <f t="shared" ref="I5:I15" si="1">G5-H5</f>
        <v>11</v>
      </c>
      <c r="J5" s="1">
        <f t="shared" ref="J5:J15" si="2">I5/F5</f>
        <v>0.2391304347826087</v>
      </c>
    </row>
    <row r="6" spans="1:10" x14ac:dyDescent="0.3">
      <c r="B6">
        <v>2</v>
      </c>
      <c r="C6" s="73">
        <v>43</v>
      </c>
      <c r="D6">
        <v>38</v>
      </c>
      <c r="E6">
        <v>1.5</v>
      </c>
      <c r="F6">
        <f t="shared" si="0"/>
        <v>41.5</v>
      </c>
      <c r="G6">
        <v>30</v>
      </c>
      <c r="H6">
        <v>18.5</v>
      </c>
      <c r="I6">
        <f t="shared" si="1"/>
        <v>11.5</v>
      </c>
      <c r="J6" s="1">
        <f t="shared" si="2"/>
        <v>0.27710843373493976</v>
      </c>
    </row>
    <row r="7" spans="1:10" x14ac:dyDescent="0.3">
      <c r="B7">
        <v>2</v>
      </c>
      <c r="C7" s="73">
        <v>44</v>
      </c>
      <c r="D7">
        <v>36</v>
      </c>
      <c r="E7">
        <v>1</v>
      </c>
      <c r="F7">
        <f t="shared" si="0"/>
        <v>43</v>
      </c>
      <c r="G7">
        <v>29</v>
      </c>
      <c r="H7">
        <v>18.5</v>
      </c>
      <c r="I7">
        <f t="shared" si="1"/>
        <v>10.5</v>
      </c>
      <c r="J7" s="1">
        <f t="shared" si="2"/>
        <v>0.2441860465116279</v>
      </c>
    </row>
    <row r="8" spans="1:10" x14ac:dyDescent="0.3">
      <c r="B8">
        <v>3</v>
      </c>
      <c r="C8" s="73">
        <v>43.5</v>
      </c>
      <c r="D8" s="75">
        <v>28</v>
      </c>
      <c r="E8">
        <v>1</v>
      </c>
      <c r="F8">
        <f t="shared" si="0"/>
        <v>42.5</v>
      </c>
      <c r="G8">
        <v>27</v>
      </c>
      <c r="H8">
        <v>18.5</v>
      </c>
      <c r="I8">
        <f t="shared" si="1"/>
        <v>8.5</v>
      </c>
      <c r="J8" s="1">
        <f t="shared" si="2"/>
        <v>0.2</v>
      </c>
    </row>
    <row r="9" spans="1:10" x14ac:dyDescent="0.3">
      <c r="B9">
        <v>3</v>
      </c>
      <c r="C9" s="73">
        <v>43.5</v>
      </c>
      <c r="D9">
        <v>35</v>
      </c>
      <c r="E9">
        <v>1</v>
      </c>
      <c r="F9">
        <f t="shared" si="0"/>
        <v>42.5</v>
      </c>
      <c r="G9">
        <v>28</v>
      </c>
      <c r="H9">
        <v>18.5</v>
      </c>
      <c r="I9">
        <f t="shared" si="1"/>
        <v>9.5</v>
      </c>
      <c r="J9" s="1">
        <f t="shared" si="2"/>
        <v>0.22352941176470589</v>
      </c>
    </row>
    <row r="10" spans="1:10" x14ac:dyDescent="0.3">
      <c r="B10">
        <v>4</v>
      </c>
      <c r="C10" s="73">
        <v>47</v>
      </c>
      <c r="D10">
        <v>34</v>
      </c>
      <c r="E10">
        <v>1</v>
      </c>
      <c r="F10">
        <f t="shared" si="0"/>
        <v>46</v>
      </c>
      <c r="G10">
        <v>29</v>
      </c>
      <c r="H10">
        <v>18.5</v>
      </c>
      <c r="I10">
        <f t="shared" si="1"/>
        <v>10.5</v>
      </c>
      <c r="J10" s="1">
        <f t="shared" si="2"/>
        <v>0.22826086956521738</v>
      </c>
    </row>
    <row r="11" spans="1:10" x14ac:dyDescent="0.3">
      <c r="B11">
        <v>4</v>
      </c>
      <c r="C11" s="73">
        <v>47</v>
      </c>
      <c r="D11">
        <v>35</v>
      </c>
      <c r="E11">
        <v>1</v>
      </c>
      <c r="F11">
        <f t="shared" si="0"/>
        <v>46</v>
      </c>
      <c r="G11">
        <v>28</v>
      </c>
      <c r="H11">
        <v>18.5</v>
      </c>
      <c r="I11">
        <f t="shared" si="1"/>
        <v>9.5</v>
      </c>
      <c r="J11" s="1">
        <f t="shared" si="2"/>
        <v>0.20652173913043478</v>
      </c>
    </row>
    <row r="12" spans="1:10" x14ac:dyDescent="0.3">
      <c r="B12">
        <v>5</v>
      </c>
      <c r="C12" s="73">
        <v>48</v>
      </c>
      <c r="D12">
        <v>35</v>
      </c>
      <c r="E12">
        <v>1</v>
      </c>
      <c r="F12">
        <f t="shared" si="0"/>
        <v>47</v>
      </c>
      <c r="G12">
        <v>28</v>
      </c>
      <c r="H12">
        <v>18.5</v>
      </c>
      <c r="I12">
        <f t="shared" si="1"/>
        <v>9.5</v>
      </c>
      <c r="J12" s="1">
        <f t="shared" si="2"/>
        <v>0.20212765957446807</v>
      </c>
    </row>
    <row r="13" spans="1:10" x14ac:dyDescent="0.3">
      <c r="B13">
        <v>5</v>
      </c>
      <c r="C13" s="73">
        <v>48</v>
      </c>
      <c r="D13">
        <v>35</v>
      </c>
      <c r="E13">
        <v>1</v>
      </c>
      <c r="F13">
        <f>C13-E13</f>
        <v>47</v>
      </c>
      <c r="G13">
        <v>28.5</v>
      </c>
      <c r="H13">
        <v>18.5</v>
      </c>
      <c r="I13">
        <f t="shared" si="1"/>
        <v>10</v>
      </c>
      <c r="J13" s="1">
        <f t="shared" si="2"/>
        <v>0.21276595744680851</v>
      </c>
    </row>
    <row r="14" spans="1:10" x14ac:dyDescent="0.3">
      <c r="B14">
        <v>6</v>
      </c>
      <c r="C14" s="73">
        <v>46</v>
      </c>
      <c r="D14">
        <v>32</v>
      </c>
      <c r="E14">
        <v>0</v>
      </c>
      <c r="F14">
        <f t="shared" si="0"/>
        <v>46</v>
      </c>
      <c r="G14">
        <v>28</v>
      </c>
      <c r="H14">
        <v>18.5</v>
      </c>
      <c r="I14">
        <f t="shared" si="1"/>
        <v>9.5</v>
      </c>
      <c r="J14" s="1">
        <f t="shared" si="2"/>
        <v>0.20652173913043478</v>
      </c>
    </row>
    <row r="15" spans="1:10" x14ac:dyDescent="0.3">
      <c r="B15">
        <v>6</v>
      </c>
      <c r="C15" s="73">
        <v>47</v>
      </c>
      <c r="D15">
        <v>39</v>
      </c>
      <c r="E15">
        <v>1</v>
      </c>
      <c r="F15">
        <f t="shared" si="0"/>
        <v>46</v>
      </c>
      <c r="G15">
        <v>30</v>
      </c>
      <c r="H15">
        <v>18.5</v>
      </c>
      <c r="I15">
        <f t="shared" si="1"/>
        <v>11.5</v>
      </c>
      <c r="J15" s="1">
        <f t="shared" si="2"/>
        <v>0.25</v>
      </c>
    </row>
    <row r="16" spans="1:10" x14ac:dyDescent="0.3">
      <c r="B16" s="3" t="s">
        <v>7</v>
      </c>
      <c r="C16" s="25">
        <f t="shared" ref="C16:J16" si="3">SUM(C4:C15)/12</f>
        <v>45.833333333333336</v>
      </c>
      <c r="D16" s="25">
        <f t="shared" si="3"/>
        <v>34.583333333333336</v>
      </c>
      <c r="E16" s="25">
        <f t="shared" si="3"/>
        <v>0.95833333333333337</v>
      </c>
      <c r="F16" s="25">
        <f t="shared" si="3"/>
        <v>44.875</v>
      </c>
      <c r="G16" s="25">
        <f t="shared" si="3"/>
        <v>28.75</v>
      </c>
      <c r="H16" s="25">
        <f t="shared" si="3"/>
        <v>18.5</v>
      </c>
      <c r="I16" s="62">
        <f t="shared" si="3"/>
        <v>10.25</v>
      </c>
      <c r="J16" s="2">
        <f t="shared" si="3"/>
        <v>0.22880898726640009</v>
      </c>
    </row>
    <row r="17" spans="1:11" x14ac:dyDescent="0.3">
      <c r="C17" s="13">
        <f>CONVERT(C16,"in","m")</f>
        <v>1.1641666666666668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76" t="s">
        <v>17</v>
      </c>
      <c r="B20" s="65" t="s">
        <v>81</v>
      </c>
      <c r="C20" s="65">
        <v>9.9600000000000009</v>
      </c>
      <c r="D20" s="5" t="s">
        <v>93</v>
      </c>
      <c r="E20" s="5"/>
    </row>
    <row r="21" spans="1:11" x14ac:dyDescent="0.3">
      <c r="A21" s="27" t="s">
        <v>18</v>
      </c>
      <c r="B21" s="65" t="s">
        <v>81</v>
      </c>
      <c r="C21" s="65">
        <v>9.2899999999999991</v>
      </c>
      <c r="D21" s="5"/>
      <c r="E21" s="5"/>
    </row>
    <row r="22" spans="1:11" ht="15" thickBot="1" x14ac:dyDescent="0.35">
      <c r="A22" s="27" t="s">
        <v>39</v>
      </c>
      <c r="B22" s="27" t="s">
        <v>81</v>
      </c>
      <c r="C22" s="72">
        <f>AVERAGE(C20:C21)</f>
        <v>9.625</v>
      </c>
      <c r="D22" s="5"/>
      <c r="E22" s="5"/>
    </row>
    <row r="23" spans="1:11" ht="36.6" customHeight="1" x14ac:dyDescent="0.3">
      <c r="A23" s="50" t="s">
        <v>14</v>
      </c>
      <c r="B23" s="68">
        <f>I16-((C20+C21)/2)</f>
        <v>0.625</v>
      </c>
      <c r="C23" s="51" t="s">
        <v>25</v>
      </c>
      <c r="D23" s="52"/>
      <c r="E23" s="52" t="s">
        <v>15</v>
      </c>
      <c r="F23" s="53">
        <f>C20/I16</f>
        <v>0.97170731707317082</v>
      </c>
      <c r="J23" t="s">
        <v>7</v>
      </c>
      <c r="K23" s="13">
        <f>AVERAGE(I4:I15)</f>
        <v>10.25</v>
      </c>
    </row>
    <row r="24" spans="1:11" ht="15" thickBot="1" x14ac:dyDescent="0.35">
      <c r="A24" s="10"/>
      <c r="B24" s="69">
        <f>CONVERT(B23,"in","mm")</f>
        <v>15.875</v>
      </c>
      <c r="C24" s="11" t="s">
        <v>26</v>
      </c>
      <c r="D24" s="54"/>
      <c r="E24" s="54" t="s">
        <v>53</v>
      </c>
      <c r="F24" s="55">
        <f>(C20-I16)/I16</f>
        <v>-2.8292682926829186E-2</v>
      </c>
      <c r="J24" t="s">
        <v>20</v>
      </c>
      <c r="K24" s="13">
        <f>STDEVA(I4:I15)</f>
        <v>0.98857105322416117</v>
      </c>
    </row>
    <row r="25" spans="1:11" ht="15" thickBot="1" x14ac:dyDescent="0.35">
      <c r="J25" t="s">
        <v>21</v>
      </c>
      <c r="K25" s="13">
        <f>VARA(I4:I15)</f>
        <v>0.97727272727272729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1.066038</v>
      </c>
      <c r="C27" s="65">
        <v>41.97</v>
      </c>
      <c r="D27" s="67"/>
    </row>
    <row r="28" spans="1:11" x14ac:dyDescent="0.3">
      <c r="A28" s="36" t="s">
        <v>50</v>
      </c>
      <c r="B28" t="s">
        <v>81</v>
      </c>
    </row>
    <row r="29" spans="1:11" x14ac:dyDescent="0.3">
      <c r="A29" s="74" t="s">
        <v>92</v>
      </c>
      <c r="C29">
        <v>42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1920-8AD8-4CC5-9125-7203F6F99578}">
  <sheetPr>
    <tabColor rgb="FF00B0F0"/>
  </sheetPr>
  <dimension ref="A1:K31"/>
  <sheetViews>
    <sheetView workbookViewId="0">
      <selection activeCell="D20" sqref="D20"/>
    </sheetView>
  </sheetViews>
  <sheetFormatPr defaultRowHeight="14.4" x14ac:dyDescent="0.3"/>
  <cols>
    <col min="1" max="1" width="29.33203125" customWidth="1"/>
    <col min="2" max="2" width="8.21875" bestFit="1" customWidth="1"/>
    <col min="3" max="3" width="16.44140625" customWidth="1"/>
  </cols>
  <sheetData>
    <row r="1" spans="1:10" ht="52.2" customHeight="1" x14ac:dyDescent="0.3">
      <c r="A1" s="37" t="s">
        <v>87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ht="73.8" customHeight="1" x14ac:dyDescent="0.3">
      <c r="A2" s="37" t="s">
        <v>88</v>
      </c>
      <c r="J2" s="1"/>
    </row>
    <row r="3" spans="1:10" x14ac:dyDescent="0.3">
      <c r="J3" s="1"/>
    </row>
    <row r="4" spans="1:10" x14ac:dyDescent="0.3">
      <c r="B4">
        <v>1</v>
      </c>
      <c r="C4">
        <v>64</v>
      </c>
      <c r="D4">
        <v>57.5</v>
      </c>
      <c r="E4">
        <v>1.5</v>
      </c>
      <c r="F4">
        <f>C4-E4</f>
        <v>62.5</v>
      </c>
      <c r="G4">
        <v>36</v>
      </c>
      <c r="H4">
        <v>18.5</v>
      </c>
      <c r="I4">
        <f>G4-H4</f>
        <v>17.5</v>
      </c>
      <c r="J4" s="1">
        <f>I4/F4</f>
        <v>0.28000000000000003</v>
      </c>
    </row>
    <row r="5" spans="1:10" x14ac:dyDescent="0.3">
      <c r="B5">
        <v>1</v>
      </c>
      <c r="C5">
        <v>63.5</v>
      </c>
      <c r="D5">
        <v>49.5</v>
      </c>
      <c r="E5">
        <v>0.5</v>
      </c>
      <c r="F5">
        <f t="shared" ref="F5:F15" si="0">C5-E5</f>
        <v>63</v>
      </c>
      <c r="G5">
        <v>35</v>
      </c>
      <c r="H5">
        <v>18.5</v>
      </c>
      <c r="I5">
        <f t="shared" ref="I5:I15" si="1">G5-H5</f>
        <v>16.5</v>
      </c>
      <c r="J5" s="1">
        <f t="shared" ref="J5:J15" si="2">I5/F5</f>
        <v>0.26190476190476192</v>
      </c>
    </row>
    <row r="6" spans="1:10" x14ac:dyDescent="0.3">
      <c r="B6">
        <v>2</v>
      </c>
      <c r="C6" s="73">
        <v>59.5</v>
      </c>
      <c r="D6">
        <v>54</v>
      </c>
      <c r="E6">
        <v>1</v>
      </c>
      <c r="F6">
        <f t="shared" si="0"/>
        <v>58.5</v>
      </c>
      <c r="G6">
        <v>35</v>
      </c>
      <c r="H6">
        <v>18.5</v>
      </c>
      <c r="I6">
        <f t="shared" si="1"/>
        <v>16.5</v>
      </c>
      <c r="J6" s="1">
        <f t="shared" si="2"/>
        <v>0.28205128205128205</v>
      </c>
    </row>
    <row r="7" spans="1:10" x14ac:dyDescent="0.3">
      <c r="B7">
        <v>2</v>
      </c>
      <c r="C7" s="73">
        <v>60.5</v>
      </c>
      <c r="D7">
        <v>53.5</v>
      </c>
      <c r="E7">
        <v>0.5</v>
      </c>
      <c r="F7">
        <f t="shared" si="0"/>
        <v>60</v>
      </c>
      <c r="G7">
        <v>34.5</v>
      </c>
      <c r="H7">
        <v>18.5</v>
      </c>
      <c r="I7">
        <f t="shared" si="1"/>
        <v>16</v>
      </c>
      <c r="J7" s="1">
        <f t="shared" si="2"/>
        <v>0.26666666666666666</v>
      </c>
    </row>
    <row r="8" spans="1:10" x14ac:dyDescent="0.3">
      <c r="B8">
        <v>3</v>
      </c>
      <c r="C8" s="73">
        <v>60</v>
      </c>
      <c r="D8">
        <v>43.5</v>
      </c>
      <c r="E8">
        <v>1.5</v>
      </c>
      <c r="F8">
        <f t="shared" si="0"/>
        <v>58.5</v>
      </c>
      <c r="G8">
        <v>31</v>
      </c>
      <c r="H8">
        <v>18.5</v>
      </c>
      <c r="I8">
        <f t="shared" si="1"/>
        <v>12.5</v>
      </c>
      <c r="J8" s="1">
        <f t="shared" si="2"/>
        <v>0.21367521367521367</v>
      </c>
    </row>
    <row r="9" spans="1:10" x14ac:dyDescent="0.3">
      <c r="B9">
        <v>3</v>
      </c>
      <c r="C9" s="73">
        <v>61</v>
      </c>
      <c r="D9">
        <v>50.5</v>
      </c>
      <c r="E9">
        <v>0.5</v>
      </c>
      <c r="F9">
        <f t="shared" si="0"/>
        <v>60.5</v>
      </c>
      <c r="G9">
        <v>33</v>
      </c>
      <c r="H9">
        <v>18.5</v>
      </c>
      <c r="I9">
        <f t="shared" si="1"/>
        <v>14.5</v>
      </c>
      <c r="J9" s="1">
        <f t="shared" si="2"/>
        <v>0.23966942148760331</v>
      </c>
    </row>
    <row r="10" spans="1:10" x14ac:dyDescent="0.3">
      <c r="B10">
        <v>4</v>
      </c>
      <c r="C10" s="73">
        <v>63</v>
      </c>
      <c r="D10">
        <v>38</v>
      </c>
      <c r="E10">
        <v>0</v>
      </c>
      <c r="F10">
        <f t="shared" si="0"/>
        <v>63</v>
      </c>
      <c r="G10">
        <v>33.5</v>
      </c>
      <c r="H10">
        <v>18.5</v>
      </c>
      <c r="I10">
        <f t="shared" si="1"/>
        <v>15</v>
      </c>
      <c r="J10" s="1">
        <f t="shared" si="2"/>
        <v>0.23809523809523808</v>
      </c>
    </row>
    <row r="11" spans="1:10" x14ac:dyDescent="0.3">
      <c r="B11">
        <v>4</v>
      </c>
      <c r="C11" s="73">
        <v>64.5</v>
      </c>
      <c r="D11">
        <v>55</v>
      </c>
      <c r="E11">
        <v>0</v>
      </c>
      <c r="F11">
        <f t="shared" si="0"/>
        <v>64.5</v>
      </c>
      <c r="G11">
        <v>35</v>
      </c>
      <c r="H11">
        <v>18.5</v>
      </c>
      <c r="I11">
        <f t="shared" si="1"/>
        <v>16.5</v>
      </c>
      <c r="J11" s="1">
        <f t="shared" si="2"/>
        <v>0.2558139534883721</v>
      </c>
    </row>
    <row r="12" spans="1:10" x14ac:dyDescent="0.3">
      <c r="B12">
        <v>5</v>
      </c>
      <c r="C12" s="73">
        <v>67</v>
      </c>
      <c r="D12">
        <v>58</v>
      </c>
      <c r="E12">
        <v>0.5</v>
      </c>
      <c r="F12">
        <f t="shared" si="0"/>
        <v>66.5</v>
      </c>
      <c r="G12">
        <v>36</v>
      </c>
      <c r="H12">
        <v>18.5</v>
      </c>
      <c r="I12">
        <f t="shared" si="1"/>
        <v>17.5</v>
      </c>
      <c r="J12" s="1">
        <f t="shared" si="2"/>
        <v>0.26315789473684209</v>
      </c>
    </row>
    <row r="13" spans="1:10" x14ac:dyDescent="0.3">
      <c r="B13">
        <v>5</v>
      </c>
      <c r="C13" s="73">
        <v>63</v>
      </c>
      <c r="D13">
        <v>56</v>
      </c>
      <c r="E13">
        <v>0</v>
      </c>
      <c r="F13">
        <f>C13-E13</f>
        <v>63</v>
      </c>
      <c r="G13">
        <v>35.5</v>
      </c>
      <c r="H13">
        <v>18.5</v>
      </c>
      <c r="I13">
        <f t="shared" si="1"/>
        <v>17</v>
      </c>
      <c r="J13" s="1">
        <f t="shared" si="2"/>
        <v>0.26984126984126983</v>
      </c>
    </row>
    <row r="14" spans="1:10" x14ac:dyDescent="0.3">
      <c r="B14">
        <v>6</v>
      </c>
      <c r="C14" s="73">
        <v>66</v>
      </c>
      <c r="D14">
        <v>47</v>
      </c>
      <c r="E14">
        <v>0.5</v>
      </c>
      <c r="F14">
        <f t="shared" si="0"/>
        <v>65.5</v>
      </c>
      <c r="G14">
        <v>33</v>
      </c>
      <c r="H14">
        <v>18.5</v>
      </c>
      <c r="I14">
        <f t="shared" si="1"/>
        <v>14.5</v>
      </c>
      <c r="J14" s="1">
        <f t="shared" si="2"/>
        <v>0.22137404580152673</v>
      </c>
    </row>
    <row r="15" spans="1:10" x14ac:dyDescent="0.3">
      <c r="B15">
        <v>6</v>
      </c>
      <c r="C15" s="73">
        <v>67.5</v>
      </c>
      <c r="D15">
        <v>47.5</v>
      </c>
      <c r="E15">
        <v>0</v>
      </c>
      <c r="F15">
        <f t="shared" si="0"/>
        <v>67.5</v>
      </c>
      <c r="G15">
        <v>33</v>
      </c>
      <c r="H15">
        <v>18.5</v>
      </c>
      <c r="I15">
        <f t="shared" si="1"/>
        <v>14.5</v>
      </c>
      <c r="J15" s="1">
        <f t="shared" si="2"/>
        <v>0.21481481481481482</v>
      </c>
    </row>
    <row r="16" spans="1:10" x14ac:dyDescent="0.3">
      <c r="B16" s="3" t="s">
        <v>7</v>
      </c>
      <c r="C16" s="25">
        <f t="shared" ref="C16:J16" si="3">SUM(C4:C15)/12</f>
        <v>63.291666666666664</v>
      </c>
      <c r="D16" s="25">
        <f t="shared" si="3"/>
        <v>50.833333333333336</v>
      </c>
      <c r="E16" s="25">
        <f t="shared" si="3"/>
        <v>0.54166666666666663</v>
      </c>
      <c r="F16" s="25">
        <f t="shared" si="3"/>
        <v>62.75</v>
      </c>
      <c r="G16" s="25">
        <f t="shared" si="3"/>
        <v>34.208333333333336</v>
      </c>
      <c r="H16" s="25">
        <f t="shared" si="3"/>
        <v>18.5</v>
      </c>
      <c r="I16" s="62">
        <f t="shared" si="3"/>
        <v>15.708333333333334</v>
      </c>
      <c r="J16" s="2">
        <f t="shared" si="3"/>
        <v>0.25058871354696594</v>
      </c>
    </row>
    <row r="17" spans="1:11" x14ac:dyDescent="0.3">
      <c r="C17" s="13">
        <f>CONVERT(C16,"in","m")</f>
        <v>1.6076083333333333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65" t="s">
        <v>81</v>
      </c>
      <c r="C20" s="65">
        <v>14.84</v>
      </c>
      <c r="D20" s="5" t="s">
        <v>93</v>
      </c>
      <c r="E20" s="5"/>
    </row>
    <row r="21" spans="1:11" x14ac:dyDescent="0.3">
      <c r="A21" s="27" t="s">
        <v>18</v>
      </c>
      <c r="B21" s="65" t="s">
        <v>81</v>
      </c>
      <c r="C21" s="65">
        <v>14.06</v>
      </c>
      <c r="D21" s="5"/>
      <c r="E21" s="5"/>
    </row>
    <row r="22" spans="1:11" ht="15" thickBot="1" x14ac:dyDescent="0.35">
      <c r="A22" s="27" t="s">
        <v>39</v>
      </c>
      <c r="B22" s="27" t="s">
        <v>81</v>
      </c>
      <c r="C22" s="72">
        <f>AVERAGE(C20:C21)</f>
        <v>14.45</v>
      </c>
      <c r="D22" s="5"/>
      <c r="E22" s="5"/>
    </row>
    <row r="23" spans="1:11" ht="36.6" customHeight="1" x14ac:dyDescent="0.3">
      <c r="A23" s="50" t="s">
        <v>14</v>
      </c>
      <c r="B23" s="68">
        <f>I16-((C20+C21)/2)</f>
        <v>1.2583333333333346</v>
      </c>
      <c r="C23" s="51" t="s">
        <v>25</v>
      </c>
      <c r="D23" s="52"/>
      <c r="E23" s="52" t="s">
        <v>15</v>
      </c>
      <c r="F23" s="53">
        <f>C20/I16</f>
        <v>0.94472148541114054</v>
      </c>
      <c r="J23" t="s">
        <v>7</v>
      </c>
      <c r="K23" s="13">
        <f>AVERAGE(I4:I15)</f>
        <v>15.708333333333334</v>
      </c>
    </row>
    <row r="24" spans="1:11" ht="15" thickBot="1" x14ac:dyDescent="0.35">
      <c r="A24" s="10"/>
      <c r="B24" s="69">
        <f>CONVERT(B23,"in","mm")</f>
        <v>31.961666666666702</v>
      </c>
      <c r="C24" s="11" t="s">
        <v>26</v>
      </c>
      <c r="D24" s="54"/>
      <c r="E24" s="54" t="s">
        <v>53</v>
      </c>
      <c r="F24" s="55">
        <f>(C22-I16)/I16</f>
        <v>-8.0106100795756044E-2</v>
      </c>
      <c r="J24" t="s">
        <v>20</v>
      </c>
      <c r="K24" s="13">
        <f>STDEVA(I4:I15)</f>
        <v>1.5144505954505765</v>
      </c>
    </row>
    <row r="25" spans="1:11" ht="15" thickBot="1" x14ac:dyDescent="0.35">
      <c r="J25" t="s">
        <v>21</v>
      </c>
      <c r="K25" s="13">
        <f>VARA(I4:I15)</f>
        <v>2.293560606060606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1.5036799999999999</v>
      </c>
      <c r="C27" s="65">
        <v>59.2</v>
      </c>
      <c r="D27" s="67"/>
    </row>
    <row r="28" spans="1:11" x14ac:dyDescent="0.3">
      <c r="A28" s="36" t="s">
        <v>50</v>
      </c>
      <c r="B28" t="s">
        <v>81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E13" sqref="E13"/>
    </sheetView>
  </sheetViews>
  <sheetFormatPr defaultRowHeight="14.4" x14ac:dyDescent="0.3"/>
  <cols>
    <col min="2" max="2" width="16.5546875" bestFit="1" customWidth="1"/>
    <col min="3" max="3" width="13.44140625" bestFit="1" customWidth="1"/>
    <col min="4" max="4" width="10.5546875" bestFit="1" customWidth="1"/>
    <col min="5" max="5" width="14.109375" bestFit="1" customWidth="1"/>
    <col min="6" max="6" width="19" bestFit="1" customWidth="1"/>
    <col min="7" max="7" width="16.5546875" bestFit="1" customWidth="1"/>
    <col min="8" max="8" width="11.21875" bestFit="1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6</v>
      </c>
      <c r="E1" t="s">
        <v>8</v>
      </c>
      <c r="F1" t="s">
        <v>2</v>
      </c>
      <c r="G1" t="s">
        <v>1</v>
      </c>
      <c r="H1" t="s">
        <v>3</v>
      </c>
      <c r="I1" t="s">
        <v>9</v>
      </c>
    </row>
    <row r="2" spans="1:13" x14ac:dyDescent="0.3">
      <c r="A2">
        <v>1</v>
      </c>
      <c r="B2">
        <v>44</v>
      </c>
      <c r="C2">
        <v>39.5</v>
      </c>
      <c r="E2">
        <f>B2-D2</f>
        <v>44</v>
      </c>
      <c r="F2">
        <v>15</v>
      </c>
      <c r="G2">
        <v>1.5</v>
      </c>
      <c r="H2">
        <f>F2-G2</f>
        <v>13.5</v>
      </c>
      <c r="I2" s="1">
        <f>H2/E2</f>
        <v>0.30681818181818182</v>
      </c>
    </row>
    <row r="3" spans="1:13" x14ac:dyDescent="0.3">
      <c r="A3">
        <v>2</v>
      </c>
      <c r="B3">
        <v>45.5</v>
      </c>
      <c r="C3">
        <v>44</v>
      </c>
      <c r="E3">
        <f t="shared" ref="E3:E11" si="0">B3-D3</f>
        <v>45.5</v>
      </c>
      <c r="F3">
        <v>16</v>
      </c>
      <c r="G3">
        <v>1.5</v>
      </c>
      <c r="H3">
        <f t="shared" ref="H3:H11" si="1">F3-G3</f>
        <v>14.5</v>
      </c>
      <c r="I3" s="1">
        <f t="shared" ref="I3:I11" si="2">H3/E3</f>
        <v>0.31868131868131866</v>
      </c>
    </row>
    <row r="4" spans="1:13" x14ac:dyDescent="0.3">
      <c r="A4">
        <v>3</v>
      </c>
      <c r="B4">
        <v>46.5</v>
      </c>
      <c r="C4">
        <v>42.5</v>
      </c>
      <c r="E4">
        <f t="shared" si="0"/>
        <v>46.5</v>
      </c>
      <c r="F4">
        <v>16</v>
      </c>
      <c r="G4">
        <v>1.5</v>
      </c>
      <c r="H4">
        <f t="shared" si="1"/>
        <v>14.5</v>
      </c>
      <c r="I4" s="1">
        <f t="shared" si="2"/>
        <v>0.31182795698924731</v>
      </c>
    </row>
    <row r="5" spans="1:13" x14ac:dyDescent="0.3">
      <c r="A5">
        <v>4</v>
      </c>
      <c r="B5">
        <v>47</v>
      </c>
      <c r="C5">
        <v>36.5</v>
      </c>
      <c r="E5">
        <f t="shared" si="0"/>
        <v>47</v>
      </c>
      <c r="F5">
        <v>15</v>
      </c>
      <c r="G5">
        <v>1.5</v>
      </c>
      <c r="H5">
        <f t="shared" si="1"/>
        <v>13.5</v>
      </c>
      <c r="I5" s="1">
        <f t="shared" si="2"/>
        <v>0.28723404255319152</v>
      </c>
    </row>
    <row r="6" spans="1:13" x14ac:dyDescent="0.3">
      <c r="A6">
        <v>5</v>
      </c>
      <c r="B6">
        <v>45</v>
      </c>
      <c r="C6">
        <v>43</v>
      </c>
      <c r="E6">
        <f t="shared" si="0"/>
        <v>45</v>
      </c>
      <c r="F6">
        <v>16</v>
      </c>
      <c r="G6">
        <v>1.5</v>
      </c>
      <c r="H6">
        <f t="shared" si="1"/>
        <v>14.5</v>
      </c>
      <c r="I6" s="1">
        <f t="shared" si="2"/>
        <v>0.32222222222222224</v>
      </c>
    </row>
    <row r="7" spans="1:13" x14ac:dyDescent="0.3">
      <c r="A7">
        <v>6</v>
      </c>
      <c r="B7">
        <v>46.5</v>
      </c>
      <c r="C7">
        <v>43.5</v>
      </c>
      <c r="E7">
        <f t="shared" si="0"/>
        <v>46.5</v>
      </c>
      <c r="F7">
        <v>16</v>
      </c>
      <c r="G7">
        <v>1.5</v>
      </c>
      <c r="H7">
        <f t="shared" si="1"/>
        <v>14.5</v>
      </c>
      <c r="I7" s="1">
        <f t="shared" si="2"/>
        <v>0.31182795698924731</v>
      </c>
    </row>
    <row r="8" spans="1:13" x14ac:dyDescent="0.3">
      <c r="A8">
        <v>7</v>
      </c>
      <c r="B8">
        <v>44</v>
      </c>
      <c r="C8">
        <v>39</v>
      </c>
      <c r="E8">
        <f t="shared" si="0"/>
        <v>44</v>
      </c>
      <c r="F8">
        <v>14</v>
      </c>
      <c r="G8">
        <v>1.5</v>
      </c>
      <c r="H8">
        <f t="shared" si="1"/>
        <v>12.5</v>
      </c>
      <c r="I8" s="1">
        <f t="shared" si="2"/>
        <v>0.28409090909090912</v>
      </c>
    </row>
    <row r="9" spans="1:13" x14ac:dyDescent="0.3">
      <c r="A9">
        <v>8</v>
      </c>
      <c r="B9">
        <v>43.5</v>
      </c>
      <c r="C9">
        <v>38.5</v>
      </c>
      <c r="E9">
        <f t="shared" si="0"/>
        <v>43.5</v>
      </c>
      <c r="F9">
        <v>13.5</v>
      </c>
      <c r="G9">
        <v>1.5</v>
      </c>
      <c r="H9">
        <f t="shared" si="1"/>
        <v>12</v>
      </c>
      <c r="I9" s="1">
        <f t="shared" si="2"/>
        <v>0.27586206896551724</v>
      </c>
    </row>
    <row r="10" spans="1:13" x14ac:dyDescent="0.3">
      <c r="A10">
        <v>9</v>
      </c>
      <c r="B10">
        <v>47</v>
      </c>
      <c r="C10">
        <v>41</v>
      </c>
      <c r="E10">
        <f t="shared" si="0"/>
        <v>47</v>
      </c>
      <c r="F10">
        <v>15</v>
      </c>
      <c r="G10">
        <v>1.5</v>
      </c>
      <c r="H10">
        <f t="shared" si="1"/>
        <v>13.5</v>
      </c>
      <c r="I10" s="1">
        <f t="shared" si="2"/>
        <v>0.28723404255319152</v>
      </c>
    </row>
    <row r="11" spans="1:13" x14ac:dyDescent="0.3">
      <c r="A11">
        <v>10</v>
      </c>
      <c r="B11">
        <v>48</v>
      </c>
      <c r="C11">
        <v>42.5</v>
      </c>
      <c r="E11">
        <f t="shared" si="0"/>
        <v>48</v>
      </c>
      <c r="F11">
        <v>16.5</v>
      </c>
      <c r="G11">
        <v>1.5</v>
      </c>
      <c r="H11">
        <f t="shared" si="1"/>
        <v>15</v>
      </c>
      <c r="I11" s="1">
        <f t="shared" si="2"/>
        <v>0.3125</v>
      </c>
    </row>
    <row r="12" spans="1:13" x14ac:dyDescent="0.3">
      <c r="I12" s="1"/>
    </row>
    <row r="13" spans="1:13" x14ac:dyDescent="0.3">
      <c r="A13" t="s">
        <v>7</v>
      </c>
      <c r="B13">
        <f>SUM(B2:B11)/10</f>
        <v>45.7</v>
      </c>
      <c r="C13">
        <f>SUM(C2:C11)/10</f>
        <v>41</v>
      </c>
      <c r="D13">
        <f t="shared" ref="D13:I13" si="3">SUM(D2:D11)/10</f>
        <v>0</v>
      </c>
      <c r="E13" s="79">
        <f>SUM(E2:E11)/10</f>
        <v>45.7</v>
      </c>
      <c r="F13">
        <f>SUM(F2:F11)/10</f>
        <v>15.3</v>
      </c>
      <c r="G13">
        <f t="shared" si="3"/>
        <v>1.5</v>
      </c>
      <c r="H13" s="79">
        <f>SUM(H2:H11)/10</f>
        <v>13.8</v>
      </c>
      <c r="I13" s="2">
        <f t="shared" si="3"/>
        <v>0.30182986998630268</v>
      </c>
    </row>
    <row r="15" spans="1:13" x14ac:dyDescent="0.3">
      <c r="L15" t="s">
        <v>7</v>
      </c>
      <c r="M15" s="13">
        <f>AVERAGE(H2:H11)</f>
        <v>13.8</v>
      </c>
    </row>
    <row r="16" spans="1:13" ht="43.2" x14ac:dyDescent="0.3">
      <c r="B16" s="4" t="s">
        <v>62</v>
      </c>
      <c r="C16" s="5"/>
      <c r="D16" s="5"/>
      <c r="L16" t="s">
        <v>20</v>
      </c>
      <c r="M16" s="13">
        <f>STDEVA(H2:H11)</f>
        <v>0.97752521990767871</v>
      </c>
    </row>
    <row r="17" spans="2:13" x14ac:dyDescent="0.3">
      <c r="B17" s="6">
        <f>(7.99+8.35)/2</f>
        <v>8.17</v>
      </c>
      <c r="C17" s="5" t="s">
        <v>10</v>
      </c>
      <c r="D17" s="5"/>
      <c r="E17">
        <f>CONVERT(21,"mm","in")</f>
        <v>0.82677165354330717</v>
      </c>
      <c r="L17" t="s">
        <v>21</v>
      </c>
      <c r="M17" s="13">
        <f>VARA(H2:H11)</f>
        <v>0.95555555555555571</v>
      </c>
    </row>
    <row r="18" spans="2:13" ht="15" thickBot="1" x14ac:dyDescent="0.35">
      <c r="B18" s="4"/>
      <c r="C18" s="5"/>
      <c r="D18" s="5"/>
    </row>
    <row r="19" spans="2:13" ht="29.4" thickBot="1" x14ac:dyDescent="0.35">
      <c r="B19" s="7" t="s">
        <v>14</v>
      </c>
      <c r="C19" s="8">
        <f>H13-B17</f>
        <v>5.6300000000000008</v>
      </c>
      <c r="D19" s="9" t="s">
        <v>10</v>
      </c>
      <c r="F19" t="s">
        <v>15</v>
      </c>
      <c r="G19" s="1">
        <f>B17/H13</f>
        <v>0.59202898550724636</v>
      </c>
    </row>
    <row r="20" spans="2:13" ht="15" thickBot="1" x14ac:dyDescent="0.35">
      <c r="B20" s="10"/>
      <c r="C20" s="11">
        <f>CONVERT(C19,"in","mm")</f>
        <v>143.00200000000001</v>
      </c>
      <c r="D20" s="12" t="s">
        <v>13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9A35-7278-44E8-B18A-AAA5D27447EE}">
  <sheetPr>
    <tabColor rgb="FF00B0F0"/>
  </sheetPr>
  <dimension ref="A1:K31"/>
  <sheetViews>
    <sheetView workbookViewId="0">
      <selection activeCell="W23" sqref="W23"/>
    </sheetView>
  </sheetViews>
  <sheetFormatPr defaultRowHeight="14.4" x14ac:dyDescent="0.3"/>
  <cols>
    <col min="1" max="1" width="29.33203125" customWidth="1"/>
    <col min="2" max="2" width="8.21875" bestFit="1" customWidth="1"/>
    <col min="3" max="3" width="16.44140625" customWidth="1"/>
  </cols>
  <sheetData>
    <row r="1" spans="1:10" ht="52.2" customHeight="1" x14ac:dyDescent="0.3">
      <c r="A1" s="37" t="s">
        <v>105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ht="73.8" customHeight="1" x14ac:dyDescent="0.3">
      <c r="A2" s="37" t="s">
        <v>89</v>
      </c>
      <c r="J2" s="1"/>
    </row>
    <row r="3" spans="1:10" x14ac:dyDescent="0.3">
      <c r="J3" s="1"/>
    </row>
    <row r="4" spans="1:10" x14ac:dyDescent="0.3">
      <c r="B4">
        <v>1</v>
      </c>
      <c r="C4">
        <v>57</v>
      </c>
      <c r="D4">
        <v>46</v>
      </c>
      <c r="E4">
        <v>2</v>
      </c>
      <c r="F4">
        <f>C4-E4</f>
        <v>55</v>
      </c>
      <c r="G4">
        <v>34.5</v>
      </c>
      <c r="H4">
        <v>18.5</v>
      </c>
      <c r="I4">
        <f>G4-H4</f>
        <v>16</v>
      </c>
      <c r="J4" s="1">
        <f>I4/F4</f>
        <v>0.29090909090909089</v>
      </c>
    </row>
    <row r="5" spans="1:10" x14ac:dyDescent="0.3">
      <c r="B5">
        <v>1</v>
      </c>
      <c r="C5">
        <v>56</v>
      </c>
      <c r="D5">
        <v>50</v>
      </c>
      <c r="E5">
        <v>1.5</v>
      </c>
      <c r="F5">
        <f t="shared" ref="F5:F15" si="0">C5-E5</f>
        <v>54.5</v>
      </c>
      <c r="G5">
        <v>35.5</v>
      </c>
      <c r="H5">
        <v>18.5</v>
      </c>
      <c r="I5">
        <f t="shared" ref="I5:I15" si="1">G5-H5</f>
        <v>17</v>
      </c>
      <c r="J5" s="1">
        <f t="shared" ref="J5:J15" si="2">I5/F5</f>
        <v>0.31192660550458717</v>
      </c>
    </row>
    <row r="6" spans="1:10" x14ac:dyDescent="0.3">
      <c r="B6">
        <v>2</v>
      </c>
      <c r="C6" s="73">
        <v>50.5</v>
      </c>
      <c r="D6">
        <v>44</v>
      </c>
      <c r="E6">
        <v>0</v>
      </c>
      <c r="F6">
        <f t="shared" si="0"/>
        <v>50.5</v>
      </c>
      <c r="G6">
        <v>35</v>
      </c>
      <c r="H6">
        <v>18.5</v>
      </c>
      <c r="I6">
        <f t="shared" si="1"/>
        <v>16.5</v>
      </c>
      <c r="J6" s="1">
        <f t="shared" si="2"/>
        <v>0.32673267326732675</v>
      </c>
    </row>
    <row r="7" spans="1:10" x14ac:dyDescent="0.3">
      <c r="B7">
        <v>2</v>
      </c>
      <c r="C7" s="73">
        <v>48</v>
      </c>
      <c r="D7">
        <v>40</v>
      </c>
      <c r="E7">
        <v>0.5</v>
      </c>
      <c r="F7">
        <f t="shared" si="0"/>
        <v>47.5</v>
      </c>
      <c r="G7">
        <v>33</v>
      </c>
      <c r="H7">
        <v>18.5</v>
      </c>
      <c r="I7">
        <f t="shared" si="1"/>
        <v>14.5</v>
      </c>
      <c r="J7" s="1">
        <f t="shared" si="2"/>
        <v>0.30526315789473685</v>
      </c>
    </row>
    <row r="8" spans="1:10" x14ac:dyDescent="0.3">
      <c r="B8">
        <v>3</v>
      </c>
      <c r="C8" s="73">
        <v>49</v>
      </c>
      <c r="D8">
        <v>40.5</v>
      </c>
      <c r="E8">
        <v>1</v>
      </c>
      <c r="F8">
        <f t="shared" si="0"/>
        <v>48</v>
      </c>
      <c r="G8">
        <v>34.5</v>
      </c>
      <c r="H8">
        <v>18.5</v>
      </c>
      <c r="I8">
        <f t="shared" si="1"/>
        <v>16</v>
      </c>
      <c r="J8" s="1">
        <f t="shared" si="2"/>
        <v>0.33333333333333331</v>
      </c>
    </row>
    <row r="9" spans="1:10" x14ac:dyDescent="0.3">
      <c r="B9">
        <v>3</v>
      </c>
      <c r="C9" s="73">
        <v>50</v>
      </c>
      <c r="D9">
        <v>43.5</v>
      </c>
      <c r="E9">
        <v>0.5</v>
      </c>
      <c r="F9">
        <f t="shared" si="0"/>
        <v>49.5</v>
      </c>
      <c r="G9">
        <v>35</v>
      </c>
      <c r="H9">
        <v>18.5</v>
      </c>
      <c r="I9">
        <f t="shared" si="1"/>
        <v>16.5</v>
      </c>
      <c r="J9" s="1">
        <f t="shared" si="2"/>
        <v>0.33333333333333331</v>
      </c>
    </row>
    <row r="10" spans="1:10" x14ac:dyDescent="0.3">
      <c r="B10">
        <v>4</v>
      </c>
      <c r="C10" s="73">
        <v>56</v>
      </c>
      <c r="D10">
        <v>44</v>
      </c>
      <c r="E10">
        <v>1</v>
      </c>
      <c r="F10">
        <f t="shared" si="0"/>
        <v>55</v>
      </c>
      <c r="G10">
        <v>35.5</v>
      </c>
      <c r="H10">
        <v>18.5</v>
      </c>
      <c r="I10">
        <f t="shared" si="1"/>
        <v>17</v>
      </c>
      <c r="J10" s="1">
        <f t="shared" si="2"/>
        <v>0.30909090909090908</v>
      </c>
    </row>
    <row r="11" spans="1:10" x14ac:dyDescent="0.3">
      <c r="B11">
        <v>4</v>
      </c>
      <c r="C11" s="73">
        <v>57</v>
      </c>
      <c r="D11">
        <v>49</v>
      </c>
      <c r="E11">
        <v>0</v>
      </c>
      <c r="F11">
        <f t="shared" si="0"/>
        <v>57</v>
      </c>
      <c r="G11">
        <v>36.5</v>
      </c>
      <c r="H11">
        <v>18.5</v>
      </c>
      <c r="I11">
        <f t="shared" si="1"/>
        <v>18</v>
      </c>
      <c r="J11" s="1">
        <f t="shared" si="2"/>
        <v>0.31578947368421051</v>
      </c>
    </row>
    <row r="12" spans="1:10" x14ac:dyDescent="0.3">
      <c r="B12">
        <v>5</v>
      </c>
      <c r="C12" s="73">
        <v>58</v>
      </c>
      <c r="D12">
        <v>46</v>
      </c>
      <c r="E12">
        <v>0</v>
      </c>
      <c r="F12">
        <f t="shared" si="0"/>
        <v>58</v>
      </c>
      <c r="G12">
        <v>34.5</v>
      </c>
      <c r="H12">
        <v>18.5</v>
      </c>
      <c r="I12">
        <f t="shared" si="1"/>
        <v>16</v>
      </c>
      <c r="J12" s="1">
        <f t="shared" si="2"/>
        <v>0.27586206896551724</v>
      </c>
    </row>
    <row r="13" spans="1:10" x14ac:dyDescent="0.3">
      <c r="B13">
        <v>5</v>
      </c>
      <c r="C13" s="73">
        <v>58</v>
      </c>
      <c r="D13">
        <v>47</v>
      </c>
      <c r="E13">
        <v>0</v>
      </c>
      <c r="F13">
        <f>C13-E13</f>
        <v>58</v>
      </c>
      <c r="G13">
        <v>35.5</v>
      </c>
      <c r="H13">
        <v>18.5</v>
      </c>
      <c r="I13">
        <f t="shared" si="1"/>
        <v>17</v>
      </c>
      <c r="J13" s="1">
        <f t="shared" si="2"/>
        <v>0.29310344827586204</v>
      </c>
    </row>
    <row r="14" spans="1:10" x14ac:dyDescent="0.3">
      <c r="B14">
        <v>6</v>
      </c>
      <c r="C14" s="73">
        <v>59</v>
      </c>
      <c r="D14">
        <v>50</v>
      </c>
      <c r="E14">
        <v>0</v>
      </c>
      <c r="F14">
        <f t="shared" si="0"/>
        <v>59</v>
      </c>
      <c r="G14">
        <v>35</v>
      </c>
      <c r="H14">
        <v>18.5</v>
      </c>
      <c r="I14">
        <f t="shared" si="1"/>
        <v>16.5</v>
      </c>
      <c r="J14" s="1">
        <f t="shared" si="2"/>
        <v>0.27966101694915252</v>
      </c>
    </row>
    <row r="15" spans="1:10" x14ac:dyDescent="0.3">
      <c r="B15">
        <v>6</v>
      </c>
      <c r="C15" s="73">
        <v>57.5</v>
      </c>
      <c r="D15">
        <v>51</v>
      </c>
      <c r="E15">
        <v>0</v>
      </c>
      <c r="F15">
        <f t="shared" si="0"/>
        <v>57.5</v>
      </c>
      <c r="G15">
        <v>36.5</v>
      </c>
      <c r="H15">
        <v>18.5</v>
      </c>
      <c r="I15">
        <f t="shared" si="1"/>
        <v>18</v>
      </c>
      <c r="J15" s="1">
        <f t="shared" si="2"/>
        <v>0.31304347826086959</v>
      </c>
    </row>
    <row r="16" spans="1:10" x14ac:dyDescent="0.3">
      <c r="B16" s="3" t="s">
        <v>7</v>
      </c>
      <c r="C16" s="25">
        <f t="shared" ref="C16:J16" si="3">SUM(C4:C15)/12</f>
        <v>54.666666666666664</v>
      </c>
      <c r="D16" s="25">
        <f t="shared" si="3"/>
        <v>45.916666666666664</v>
      </c>
      <c r="E16" s="25">
        <f t="shared" si="3"/>
        <v>0.54166666666666663</v>
      </c>
      <c r="F16" s="25">
        <f t="shared" si="3"/>
        <v>54.125</v>
      </c>
      <c r="G16" s="25">
        <f t="shared" si="3"/>
        <v>35.083333333333336</v>
      </c>
      <c r="H16" s="25">
        <f t="shared" si="3"/>
        <v>18.5</v>
      </c>
      <c r="I16" s="62">
        <f t="shared" si="3"/>
        <v>16.583333333333332</v>
      </c>
      <c r="J16" s="2">
        <f t="shared" si="3"/>
        <v>0.30733738245574416</v>
      </c>
    </row>
    <row r="17" spans="1:11" x14ac:dyDescent="0.3">
      <c r="C17" s="13">
        <f>CONVERT(C16,"in","m")</f>
        <v>1.3885333333333332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65" t="s">
        <v>81</v>
      </c>
      <c r="C20" s="65">
        <v>15.12</v>
      </c>
      <c r="D20" s="5" t="s">
        <v>93</v>
      </c>
      <c r="E20" s="5"/>
    </row>
    <row r="21" spans="1:11" x14ac:dyDescent="0.3">
      <c r="A21" s="27" t="s">
        <v>18</v>
      </c>
      <c r="B21" s="65" t="s">
        <v>81</v>
      </c>
      <c r="C21" s="65">
        <v>13.54</v>
      </c>
      <c r="D21" s="5"/>
      <c r="E21" s="5"/>
    </row>
    <row r="22" spans="1:11" ht="15" thickBot="1" x14ac:dyDescent="0.35">
      <c r="A22" s="27" t="s">
        <v>39</v>
      </c>
      <c r="B22" s="27" t="s">
        <v>81</v>
      </c>
      <c r="C22" s="72">
        <f>AVERAGE(C20:C21)</f>
        <v>14.329999999999998</v>
      </c>
      <c r="D22" s="5"/>
      <c r="E22" s="5"/>
    </row>
    <row r="23" spans="1:11" ht="36.6" customHeight="1" x14ac:dyDescent="0.3">
      <c r="A23" s="50" t="s">
        <v>14</v>
      </c>
      <c r="B23" s="68">
        <f>I16-((C20+C21)/2)</f>
        <v>2.2533333333333339</v>
      </c>
      <c r="C23" s="51" t="s">
        <v>25</v>
      </c>
      <c r="D23" s="52"/>
      <c r="E23" s="52" t="s">
        <v>15</v>
      </c>
      <c r="F23" s="53">
        <f>C22/I16</f>
        <v>0.86412060301507532</v>
      </c>
      <c r="J23" t="s">
        <v>7</v>
      </c>
      <c r="K23" s="13">
        <f>AVERAGE(I4:I15)</f>
        <v>16.583333333333332</v>
      </c>
    </row>
    <row r="24" spans="1:11" ht="15" thickBot="1" x14ac:dyDescent="0.35">
      <c r="A24" s="10"/>
      <c r="B24" s="69">
        <f>CONVERT(B23,"in","mm")</f>
        <v>57.234666666666676</v>
      </c>
      <c r="C24" s="11" t="s">
        <v>26</v>
      </c>
      <c r="D24" s="54"/>
      <c r="E24" s="54" t="s">
        <v>53</v>
      </c>
      <c r="F24" s="55">
        <f>(I16-C22)/I16</f>
        <v>0.13587939698492466</v>
      </c>
      <c r="J24" t="s">
        <v>20</v>
      </c>
      <c r="K24" s="13">
        <f>STDEVA(I4:I15)</f>
        <v>0.94948151720565466</v>
      </c>
    </row>
    <row r="25" spans="1:11" ht="15" thickBot="1" x14ac:dyDescent="0.35">
      <c r="J25" t="s">
        <v>21</v>
      </c>
      <c r="K25" s="13">
        <f>VARA(I4:I15)</f>
        <v>0.90151515151515182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1.3050520000000001</v>
      </c>
      <c r="C27" s="65">
        <v>51.38</v>
      </c>
      <c r="D27" s="38">
        <f>(F16-C27)/F16</f>
        <v>5.0715935334872932E-2</v>
      </c>
    </row>
    <row r="28" spans="1:11" x14ac:dyDescent="0.3">
      <c r="A28" s="36" t="s">
        <v>50</v>
      </c>
      <c r="B28" t="s">
        <v>81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7F2F-CE0E-4830-8C28-D82F32B0A1C0}">
  <sheetPr>
    <tabColor rgb="FF00B0F0"/>
  </sheetPr>
  <dimension ref="A1:K31"/>
  <sheetViews>
    <sheetView workbookViewId="0">
      <selection activeCell="D20" sqref="D20"/>
    </sheetView>
  </sheetViews>
  <sheetFormatPr defaultRowHeight="14.4" x14ac:dyDescent="0.3"/>
  <cols>
    <col min="1" max="1" width="29.33203125" customWidth="1"/>
    <col min="2" max="2" width="8.21875" bestFit="1" customWidth="1"/>
    <col min="3" max="3" width="16.44140625" customWidth="1"/>
  </cols>
  <sheetData>
    <row r="1" spans="1:10" ht="52.2" customHeight="1" x14ac:dyDescent="0.3">
      <c r="A1" s="37" t="s">
        <v>102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8</v>
      </c>
      <c r="G1" s="37" t="s">
        <v>2</v>
      </c>
      <c r="H1" s="37" t="s">
        <v>1</v>
      </c>
      <c r="I1" s="37" t="s">
        <v>3</v>
      </c>
      <c r="J1" s="37" t="s">
        <v>9</v>
      </c>
    </row>
    <row r="2" spans="1:10" ht="73.8" customHeight="1" x14ac:dyDescent="0.3">
      <c r="A2" s="37" t="s">
        <v>103</v>
      </c>
      <c r="J2" s="1"/>
    </row>
    <row r="3" spans="1:10" x14ac:dyDescent="0.3">
      <c r="J3" s="1"/>
    </row>
    <row r="4" spans="1:10" x14ac:dyDescent="0.3">
      <c r="B4">
        <v>1</v>
      </c>
      <c r="C4">
        <v>45</v>
      </c>
      <c r="D4">
        <v>37</v>
      </c>
      <c r="E4">
        <v>0</v>
      </c>
      <c r="F4">
        <f>C4-E4</f>
        <v>45</v>
      </c>
      <c r="G4">
        <v>33</v>
      </c>
      <c r="H4">
        <v>19</v>
      </c>
      <c r="I4">
        <f>G4-H4</f>
        <v>14</v>
      </c>
      <c r="J4" s="1">
        <f>I4/F4</f>
        <v>0.31111111111111112</v>
      </c>
    </row>
    <row r="5" spans="1:10" x14ac:dyDescent="0.3">
      <c r="B5">
        <v>1</v>
      </c>
      <c r="C5">
        <v>46</v>
      </c>
      <c r="D5">
        <v>37.5</v>
      </c>
      <c r="E5">
        <v>0.5</v>
      </c>
      <c r="F5">
        <f t="shared" ref="F5:F15" si="0">C5-E5</f>
        <v>45.5</v>
      </c>
      <c r="G5">
        <v>34</v>
      </c>
      <c r="H5">
        <v>19</v>
      </c>
      <c r="I5">
        <f t="shared" ref="I5:I15" si="1">G5-H5</f>
        <v>15</v>
      </c>
      <c r="J5" s="1">
        <f>I5/F5</f>
        <v>0.32967032967032966</v>
      </c>
    </row>
    <row r="6" spans="1:10" x14ac:dyDescent="0.3">
      <c r="B6">
        <v>2</v>
      </c>
      <c r="C6" s="73">
        <v>42</v>
      </c>
      <c r="D6">
        <v>32</v>
      </c>
      <c r="E6">
        <v>0</v>
      </c>
      <c r="F6">
        <f t="shared" si="0"/>
        <v>42</v>
      </c>
      <c r="G6">
        <v>34.5</v>
      </c>
      <c r="H6">
        <v>19</v>
      </c>
      <c r="I6">
        <f t="shared" si="1"/>
        <v>15.5</v>
      </c>
      <c r="J6" s="1">
        <f t="shared" ref="J5:J15" si="2">I6/F6</f>
        <v>0.36904761904761907</v>
      </c>
    </row>
    <row r="7" spans="1:10" x14ac:dyDescent="0.3">
      <c r="B7">
        <v>2</v>
      </c>
      <c r="C7" s="73">
        <v>39</v>
      </c>
      <c r="D7">
        <v>33</v>
      </c>
      <c r="E7">
        <v>1</v>
      </c>
      <c r="F7">
        <f t="shared" si="0"/>
        <v>38</v>
      </c>
      <c r="G7">
        <v>33.5</v>
      </c>
      <c r="H7">
        <v>19</v>
      </c>
      <c r="I7">
        <f t="shared" si="1"/>
        <v>14.5</v>
      </c>
      <c r="J7" s="1">
        <f t="shared" si="2"/>
        <v>0.38157894736842107</v>
      </c>
    </row>
    <row r="8" spans="1:10" x14ac:dyDescent="0.3">
      <c r="B8">
        <v>3</v>
      </c>
      <c r="C8" s="73">
        <v>40</v>
      </c>
      <c r="D8">
        <v>34.5</v>
      </c>
      <c r="E8">
        <v>0.5</v>
      </c>
      <c r="F8">
        <f t="shared" si="0"/>
        <v>39.5</v>
      </c>
      <c r="G8">
        <v>31.5</v>
      </c>
      <c r="H8">
        <v>19</v>
      </c>
      <c r="I8">
        <f t="shared" si="1"/>
        <v>12.5</v>
      </c>
      <c r="J8" s="1">
        <f>I8/F8</f>
        <v>0.31645569620253167</v>
      </c>
    </row>
    <row r="9" spans="1:10" x14ac:dyDescent="0.3">
      <c r="B9">
        <v>3</v>
      </c>
      <c r="C9" s="73">
        <v>39.5</v>
      </c>
      <c r="D9">
        <v>38</v>
      </c>
      <c r="E9">
        <v>1</v>
      </c>
      <c r="F9">
        <f t="shared" si="0"/>
        <v>38.5</v>
      </c>
      <c r="G9">
        <v>33.5</v>
      </c>
      <c r="H9">
        <v>19</v>
      </c>
      <c r="I9">
        <f t="shared" si="1"/>
        <v>14.5</v>
      </c>
      <c r="J9" s="1">
        <f t="shared" si="2"/>
        <v>0.37662337662337664</v>
      </c>
    </row>
    <row r="10" spans="1:10" x14ac:dyDescent="0.3">
      <c r="B10">
        <v>4</v>
      </c>
      <c r="C10" s="73">
        <v>44</v>
      </c>
      <c r="D10">
        <v>41</v>
      </c>
      <c r="E10">
        <v>1</v>
      </c>
      <c r="F10">
        <f t="shared" si="0"/>
        <v>43</v>
      </c>
      <c r="G10">
        <v>36</v>
      </c>
      <c r="H10">
        <v>19</v>
      </c>
      <c r="I10">
        <f t="shared" si="1"/>
        <v>17</v>
      </c>
      <c r="J10" s="1">
        <f t="shared" si="2"/>
        <v>0.39534883720930231</v>
      </c>
    </row>
    <row r="11" spans="1:10" x14ac:dyDescent="0.3">
      <c r="B11">
        <v>4</v>
      </c>
      <c r="C11" s="73">
        <v>48</v>
      </c>
      <c r="D11">
        <v>42</v>
      </c>
      <c r="E11">
        <v>0.5</v>
      </c>
      <c r="F11">
        <f t="shared" si="0"/>
        <v>47.5</v>
      </c>
      <c r="G11">
        <v>36.5</v>
      </c>
      <c r="H11">
        <v>18</v>
      </c>
      <c r="I11">
        <f t="shared" si="1"/>
        <v>18.5</v>
      </c>
      <c r="J11" s="1">
        <f t="shared" si="2"/>
        <v>0.38947368421052631</v>
      </c>
    </row>
    <row r="12" spans="1:10" x14ac:dyDescent="0.3">
      <c r="B12">
        <v>5</v>
      </c>
      <c r="C12" s="73">
        <v>50</v>
      </c>
      <c r="D12">
        <v>44</v>
      </c>
      <c r="E12">
        <v>0.5</v>
      </c>
      <c r="F12">
        <f t="shared" si="0"/>
        <v>49.5</v>
      </c>
      <c r="G12">
        <v>35.5</v>
      </c>
      <c r="H12">
        <v>18</v>
      </c>
      <c r="I12">
        <f t="shared" si="1"/>
        <v>17.5</v>
      </c>
      <c r="J12" s="1">
        <f t="shared" si="2"/>
        <v>0.35353535353535354</v>
      </c>
    </row>
    <row r="13" spans="1:10" x14ac:dyDescent="0.3">
      <c r="B13">
        <v>5</v>
      </c>
      <c r="C13" s="73">
        <v>50</v>
      </c>
      <c r="D13">
        <v>42.5</v>
      </c>
      <c r="E13">
        <v>0.5</v>
      </c>
      <c r="F13">
        <f>C13-E13</f>
        <v>49.5</v>
      </c>
      <c r="G13">
        <v>35</v>
      </c>
      <c r="H13">
        <v>18</v>
      </c>
      <c r="I13">
        <f t="shared" si="1"/>
        <v>17</v>
      </c>
      <c r="J13" s="1">
        <f t="shared" si="2"/>
        <v>0.34343434343434343</v>
      </c>
    </row>
    <row r="14" spans="1:10" x14ac:dyDescent="0.3">
      <c r="B14">
        <v>6</v>
      </c>
      <c r="C14" s="73">
        <v>53</v>
      </c>
      <c r="D14">
        <v>37</v>
      </c>
      <c r="E14">
        <v>2</v>
      </c>
      <c r="F14">
        <f t="shared" si="0"/>
        <v>51</v>
      </c>
      <c r="G14">
        <v>33</v>
      </c>
      <c r="H14">
        <v>18</v>
      </c>
      <c r="I14">
        <f t="shared" si="1"/>
        <v>15</v>
      </c>
      <c r="J14" s="1">
        <f t="shared" si="2"/>
        <v>0.29411764705882354</v>
      </c>
    </row>
    <row r="15" spans="1:10" x14ac:dyDescent="0.3">
      <c r="B15">
        <v>6</v>
      </c>
      <c r="C15" s="73">
        <v>47</v>
      </c>
      <c r="D15">
        <v>41</v>
      </c>
      <c r="E15">
        <v>0</v>
      </c>
      <c r="F15">
        <f t="shared" si="0"/>
        <v>47</v>
      </c>
      <c r="G15">
        <v>35.5</v>
      </c>
      <c r="H15">
        <v>18.5</v>
      </c>
      <c r="I15">
        <f t="shared" si="1"/>
        <v>17</v>
      </c>
      <c r="J15" s="1">
        <f>I15/F15</f>
        <v>0.36170212765957449</v>
      </c>
    </row>
    <row r="16" spans="1:10" x14ac:dyDescent="0.3">
      <c r="B16" s="3" t="s">
        <v>7</v>
      </c>
      <c r="C16" s="25">
        <f t="shared" ref="C16:J16" si="3">SUM(C4:C15)/12</f>
        <v>45.291666666666664</v>
      </c>
      <c r="D16" s="25">
        <f t="shared" si="3"/>
        <v>38.291666666666664</v>
      </c>
      <c r="E16" s="25">
        <f t="shared" si="3"/>
        <v>0.625</v>
      </c>
      <c r="F16" s="25">
        <f t="shared" si="3"/>
        <v>44.666666666666664</v>
      </c>
      <c r="G16" s="25">
        <f t="shared" si="3"/>
        <v>34.291666666666664</v>
      </c>
      <c r="H16" s="25">
        <f t="shared" si="3"/>
        <v>18.625</v>
      </c>
      <c r="I16" s="62">
        <f t="shared" si="3"/>
        <v>15.666666666666666</v>
      </c>
      <c r="J16" s="2">
        <f>SUM(J4:J15)/12</f>
        <v>0.35184158942760929</v>
      </c>
    </row>
    <row r="17" spans="1:11" x14ac:dyDescent="0.3">
      <c r="C17" s="13">
        <f>CONVERT(C16,"in","m")</f>
        <v>1.1504083333333333</v>
      </c>
    </row>
    <row r="19" spans="1:11" x14ac:dyDescent="0.3">
      <c r="A19" s="27"/>
      <c r="B19" s="27" t="s">
        <v>41</v>
      </c>
      <c r="C19" s="28" t="s">
        <v>40</v>
      </c>
      <c r="D19" s="5"/>
      <c r="E19" s="5"/>
    </row>
    <row r="20" spans="1:11" x14ac:dyDescent="0.3">
      <c r="A20" s="27" t="s">
        <v>17</v>
      </c>
      <c r="B20" s="65" t="s">
        <v>81</v>
      </c>
      <c r="C20" s="65">
        <v>14.29</v>
      </c>
      <c r="D20" s="5" t="s">
        <v>93</v>
      </c>
      <c r="E20" s="5"/>
    </row>
    <row r="21" spans="1:11" x14ac:dyDescent="0.3">
      <c r="A21" s="27" t="s">
        <v>18</v>
      </c>
      <c r="B21" s="65" t="s">
        <v>81</v>
      </c>
      <c r="C21" s="65">
        <v>12.95</v>
      </c>
      <c r="D21" s="5"/>
      <c r="E21" s="5"/>
    </row>
    <row r="22" spans="1:11" ht="15" thickBot="1" x14ac:dyDescent="0.35">
      <c r="A22" s="27" t="s">
        <v>39</v>
      </c>
      <c r="B22" s="27" t="s">
        <v>81</v>
      </c>
      <c r="C22" s="72">
        <f>AVERAGE(C20:C21)</f>
        <v>13.62</v>
      </c>
      <c r="D22" s="5"/>
      <c r="E22" s="5"/>
    </row>
    <row r="23" spans="1:11" ht="36.6" customHeight="1" x14ac:dyDescent="0.3">
      <c r="A23" s="50" t="s">
        <v>14</v>
      </c>
      <c r="B23" s="68">
        <f>I16-((C20+C21)/2)</f>
        <v>2.0466666666666669</v>
      </c>
      <c r="C23" s="51" t="s">
        <v>25</v>
      </c>
      <c r="D23" s="52"/>
      <c r="E23" s="52" t="s">
        <v>15</v>
      </c>
      <c r="F23" s="53">
        <f>C22/I16</f>
        <v>0.86936170212765951</v>
      </c>
      <c r="J23" t="s">
        <v>7</v>
      </c>
      <c r="K23" s="13">
        <f>AVERAGE(I4:I15)</f>
        <v>15.666666666666666</v>
      </c>
    </row>
    <row r="24" spans="1:11" ht="15" thickBot="1" x14ac:dyDescent="0.35">
      <c r="A24" s="10"/>
      <c r="B24" s="69">
        <f>CONVERT(B23,"in","mm")</f>
        <v>51.985333333333337</v>
      </c>
      <c r="C24" s="11" t="s">
        <v>26</v>
      </c>
      <c r="D24" s="54"/>
      <c r="E24" s="54" t="s">
        <v>53</v>
      </c>
      <c r="F24" s="55">
        <f>(I16-C22)/I16</f>
        <v>0.13063829787234044</v>
      </c>
      <c r="J24" t="s">
        <v>20</v>
      </c>
      <c r="K24" s="13">
        <f>STDEVA(I4:I15)</f>
        <v>1.7364191645888678</v>
      </c>
    </row>
    <row r="25" spans="1:11" ht="15" thickBot="1" x14ac:dyDescent="0.35">
      <c r="J25" t="s">
        <v>21</v>
      </c>
      <c r="K25" s="13">
        <f>VARA(I4:I15)</f>
        <v>3.0151515151515014</v>
      </c>
    </row>
    <row r="26" spans="1:11" x14ac:dyDescent="0.3">
      <c r="A26" s="15" t="s">
        <v>42</v>
      </c>
      <c r="B26" s="16" t="s">
        <v>23</v>
      </c>
      <c r="C26" s="17" t="s">
        <v>24</v>
      </c>
      <c r="D26" t="s">
        <v>47</v>
      </c>
    </row>
    <row r="27" spans="1:11" ht="15" thickBot="1" x14ac:dyDescent="0.35">
      <c r="A27" s="10" t="s">
        <v>19</v>
      </c>
      <c r="B27" s="18">
        <f>CONVERT(C27,"in","m")</f>
        <v>1.0769599999999999</v>
      </c>
      <c r="C27" s="65">
        <v>42.4</v>
      </c>
      <c r="D27" s="38">
        <f>(F16-C27)/F16</f>
        <v>5.0746268656716401E-2</v>
      </c>
    </row>
    <row r="28" spans="1:11" x14ac:dyDescent="0.3">
      <c r="A28" s="36" t="s">
        <v>50</v>
      </c>
      <c r="B28" t="s">
        <v>81</v>
      </c>
    </row>
    <row r="29" spans="1:11" x14ac:dyDescent="0.3">
      <c r="A29" s="74" t="s">
        <v>104</v>
      </c>
      <c r="B29">
        <v>40.799999999999997</v>
      </c>
    </row>
    <row r="31" spans="1:11" ht="27" customHeight="1" x14ac:dyDescent="0.3"/>
  </sheetData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C17" sqref="C17"/>
    </sheetView>
  </sheetViews>
  <sheetFormatPr defaultRowHeight="14.4" x14ac:dyDescent="0.3"/>
  <cols>
    <col min="1" max="1" width="14.77734375" bestFit="1" customWidth="1"/>
    <col min="3" max="3" width="16.5546875" bestFit="1" customWidth="1"/>
    <col min="4" max="4" width="13.44140625" bestFit="1" customWidth="1"/>
    <col min="5" max="5" width="10.5546875" bestFit="1" customWidth="1"/>
    <col min="6" max="6" width="14.109375" bestFit="1" customWidth="1"/>
    <col min="7" max="7" width="19" bestFit="1" customWidth="1"/>
    <col min="8" max="8" width="16.5546875" bestFit="1" customWidth="1"/>
    <col min="9" max="9" width="11.21875" bestFit="1" customWidth="1"/>
  </cols>
  <sheetData>
    <row r="1" spans="2:15" x14ac:dyDescent="0.3">
      <c r="B1" t="s">
        <v>0</v>
      </c>
      <c r="C1" t="s">
        <v>4</v>
      </c>
      <c r="D1" t="s">
        <v>5</v>
      </c>
      <c r="E1" t="s">
        <v>6</v>
      </c>
      <c r="F1" t="s">
        <v>8</v>
      </c>
      <c r="G1" t="s">
        <v>2</v>
      </c>
      <c r="H1" t="s">
        <v>1</v>
      </c>
      <c r="I1" t="s">
        <v>3</v>
      </c>
      <c r="J1" t="s">
        <v>9</v>
      </c>
    </row>
    <row r="2" spans="2:15" x14ac:dyDescent="0.3">
      <c r="B2">
        <v>1</v>
      </c>
      <c r="C2">
        <v>46</v>
      </c>
      <c r="D2">
        <v>36</v>
      </c>
      <c r="F2">
        <f>C2-E2</f>
        <v>46</v>
      </c>
      <c r="G2">
        <v>16</v>
      </c>
      <c r="H2">
        <v>1.5</v>
      </c>
      <c r="I2">
        <f>G2-H2</f>
        <v>14.5</v>
      </c>
      <c r="J2" s="1">
        <f>I2/F2</f>
        <v>0.31521739130434784</v>
      </c>
    </row>
    <row r="3" spans="2:15" x14ac:dyDescent="0.3">
      <c r="B3">
        <v>2</v>
      </c>
      <c r="C3">
        <v>42</v>
      </c>
      <c r="D3">
        <v>38</v>
      </c>
      <c r="F3">
        <f>C3-E3</f>
        <v>42</v>
      </c>
      <c r="G3">
        <v>16.5</v>
      </c>
      <c r="H3">
        <v>1.5</v>
      </c>
      <c r="I3">
        <f>G3-H3</f>
        <v>15</v>
      </c>
      <c r="J3" s="1">
        <f>I3/F3</f>
        <v>0.35714285714285715</v>
      </c>
    </row>
    <row r="4" spans="2:15" x14ac:dyDescent="0.3">
      <c r="B4">
        <v>3</v>
      </c>
      <c r="C4">
        <v>39</v>
      </c>
      <c r="D4">
        <v>37</v>
      </c>
      <c r="F4">
        <f>C4-E4</f>
        <v>39</v>
      </c>
      <c r="G4">
        <v>15.5</v>
      </c>
      <c r="H4">
        <v>1.5</v>
      </c>
      <c r="I4">
        <f>G4-H4</f>
        <v>14</v>
      </c>
      <c r="J4" s="1">
        <f>I4/F4</f>
        <v>0.35897435897435898</v>
      </c>
    </row>
    <row r="5" spans="2:15" x14ac:dyDescent="0.3">
      <c r="B5">
        <v>4</v>
      </c>
      <c r="C5">
        <v>42</v>
      </c>
      <c r="D5">
        <v>41</v>
      </c>
      <c r="F5">
        <f>C5-E5</f>
        <v>42</v>
      </c>
      <c r="G5">
        <v>17</v>
      </c>
      <c r="H5">
        <v>1.5</v>
      </c>
      <c r="I5">
        <f>G5-H5</f>
        <v>15.5</v>
      </c>
      <c r="J5" s="1">
        <f>I5/F5</f>
        <v>0.36904761904761907</v>
      </c>
    </row>
    <row r="6" spans="2:15" x14ac:dyDescent="0.3">
      <c r="B6">
        <v>5</v>
      </c>
      <c r="C6">
        <v>45.5</v>
      </c>
      <c r="D6">
        <v>42.5</v>
      </c>
      <c r="F6">
        <f>C6-E6</f>
        <v>45.5</v>
      </c>
      <c r="G6">
        <v>18</v>
      </c>
      <c r="H6">
        <v>1.5</v>
      </c>
      <c r="I6">
        <f>G6-H6</f>
        <v>16.5</v>
      </c>
      <c r="J6" s="1">
        <f>I6/F6</f>
        <v>0.36263736263736263</v>
      </c>
    </row>
    <row r="7" spans="2:15" x14ac:dyDescent="0.3">
      <c r="B7">
        <v>6</v>
      </c>
      <c r="J7" s="1"/>
    </row>
    <row r="8" spans="2:15" x14ac:dyDescent="0.3">
      <c r="B8">
        <v>7</v>
      </c>
      <c r="J8" s="1"/>
    </row>
    <row r="9" spans="2:15" x14ac:dyDescent="0.3">
      <c r="B9">
        <v>8</v>
      </c>
      <c r="J9" s="1"/>
    </row>
    <row r="10" spans="2:15" x14ac:dyDescent="0.3">
      <c r="B10">
        <v>9</v>
      </c>
      <c r="J10" s="1"/>
    </row>
    <row r="11" spans="2:15" x14ac:dyDescent="0.3">
      <c r="B11">
        <v>10</v>
      </c>
      <c r="J11" s="1"/>
    </row>
    <row r="12" spans="2:15" x14ac:dyDescent="0.3">
      <c r="J12" s="1"/>
    </row>
    <row r="13" spans="2:15" x14ac:dyDescent="0.3">
      <c r="B13" s="3" t="s">
        <v>7</v>
      </c>
      <c r="C13" s="3">
        <f>SUM(C2:C11)/5</f>
        <v>42.9</v>
      </c>
      <c r="D13" s="3">
        <f>SUM(D2:D11)/5</f>
        <v>38.9</v>
      </c>
      <c r="E13" s="3">
        <f t="shared" ref="E13:J13" si="0">SUM(E2:E11)/5</f>
        <v>0</v>
      </c>
      <c r="F13" s="3">
        <f t="shared" si="0"/>
        <v>42.9</v>
      </c>
      <c r="G13" s="3">
        <f t="shared" si="0"/>
        <v>16.600000000000001</v>
      </c>
      <c r="H13" s="3">
        <f t="shared" si="0"/>
        <v>1.5</v>
      </c>
      <c r="I13" s="3">
        <f t="shared" si="0"/>
        <v>15.1</v>
      </c>
      <c r="J13" s="2">
        <f t="shared" si="0"/>
        <v>0.35260391782130912</v>
      </c>
    </row>
    <row r="15" spans="2:15" x14ac:dyDescent="0.3">
      <c r="M15" t="s">
        <v>7</v>
      </c>
      <c r="N15" s="13">
        <f>AVERAGE(I2:I6)</f>
        <v>15.1</v>
      </c>
      <c r="O15">
        <f>CONVERT(N15, "in", "cm")</f>
        <v>38.353999999999999</v>
      </c>
    </row>
    <row r="16" spans="2:15" ht="43.2" x14ac:dyDescent="0.3">
      <c r="C16" s="4" t="s">
        <v>16</v>
      </c>
      <c r="D16" s="5"/>
      <c r="E16" s="5"/>
      <c r="M16" t="s">
        <v>20</v>
      </c>
      <c r="N16" s="13">
        <f>STDEVA(I2:I6)</f>
        <v>0.96176920308356728</v>
      </c>
    </row>
    <row r="17" spans="1:14" x14ac:dyDescent="0.3">
      <c r="A17" t="s">
        <v>17</v>
      </c>
      <c r="B17">
        <v>239</v>
      </c>
      <c r="C17" s="6">
        <f>CONVERT(B17,"mm","in")</f>
        <v>9.4094488188976371</v>
      </c>
      <c r="D17" s="5" t="s">
        <v>10</v>
      </c>
      <c r="E17" s="5"/>
      <c r="M17" t="s">
        <v>21</v>
      </c>
      <c r="N17" s="13">
        <f>VARA(I2:I6)</f>
        <v>0.92500000000000004</v>
      </c>
    </row>
    <row r="18" spans="1:14" ht="15" thickBot="1" x14ac:dyDescent="0.35">
      <c r="A18" t="s">
        <v>18</v>
      </c>
      <c r="B18">
        <v>224</v>
      </c>
      <c r="C18" s="6">
        <f>CONVERT(B18,"mm","in")</f>
        <v>8.8188976377952759</v>
      </c>
      <c r="D18" s="5" t="s">
        <v>10</v>
      </c>
      <c r="E18" s="5"/>
    </row>
    <row r="19" spans="1:14" ht="29.4" thickBot="1" x14ac:dyDescent="0.35">
      <c r="C19" s="7" t="s">
        <v>14</v>
      </c>
      <c r="D19" s="8">
        <f>I13-C17</f>
        <v>5.6905511811023626</v>
      </c>
      <c r="E19" s="9" t="s">
        <v>10</v>
      </c>
      <c r="G19" t="s">
        <v>15</v>
      </c>
      <c r="H19" s="1">
        <f>C17/I13</f>
        <v>0.62314230588726072</v>
      </c>
    </row>
    <row r="20" spans="1:14" ht="15" thickBot="1" x14ac:dyDescent="0.35">
      <c r="C20" s="10"/>
      <c r="D20" s="11">
        <f>CONVERT(D19,"in","mm")</f>
        <v>144.54</v>
      </c>
      <c r="E20" s="12" t="s">
        <v>13</v>
      </c>
    </row>
    <row r="23" spans="1:14" x14ac:dyDescent="0.3">
      <c r="A23" t="s">
        <v>19</v>
      </c>
      <c r="B23">
        <v>1.157</v>
      </c>
      <c r="C23">
        <f>CONVERT(B23,"m","in")</f>
        <v>45.551181102362207</v>
      </c>
    </row>
    <row r="25" spans="1:14" x14ac:dyDescent="0.3">
      <c r="A25" t="s">
        <v>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workbookViewId="0">
      <selection activeCell="L19" sqref="L19"/>
    </sheetView>
  </sheetViews>
  <sheetFormatPr defaultRowHeight="14.4" x14ac:dyDescent="0.3"/>
  <cols>
    <col min="3" max="3" width="13.6640625" bestFit="1" customWidth="1"/>
    <col min="7" max="7" width="26.88671875" bestFit="1" customWidth="1"/>
    <col min="9" max="9" width="11.21875" bestFit="1" customWidth="1"/>
  </cols>
  <sheetData>
    <row r="1" spans="2:14" x14ac:dyDescent="0.3">
      <c r="B1" t="s">
        <v>0</v>
      </c>
      <c r="C1" t="s">
        <v>4</v>
      </c>
      <c r="D1" t="s">
        <v>5</v>
      </c>
      <c r="E1" t="s">
        <v>6</v>
      </c>
      <c r="F1" t="s">
        <v>8</v>
      </c>
      <c r="G1" t="s">
        <v>2</v>
      </c>
      <c r="H1" t="s">
        <v>1</v>
      </c>
      <c r="I1" t="s">
        <v>3</v>
      </c>
      <c r="J1" t="s">
        <v>9</v>
      </c>
    </row>
    <row r="2" spans="2:14" x14ac:dyDescent="0.3">
      <c r="B2">
        <v>1</v>
      </c>
      <c r="C2">
        <v>39.5</v>
      </c>
      <c r="D2">
        <v>38</v>
      </c>
      <c r="E2">
        <v>2</v>
      </c>
      <c r="F2">
        <f>C2-E2</f>
        <v>37.5</v>
      </c>
      <c r="G2">
        <v>16.5</v>
      </c>
      <c r="H2">
        <v>1.5</v>
      </c>
      <c r="I2">
        <f>G2-H2</f>
        <v>15</v>
      </c>
      <c r="J2" s="1">
        <f>I2/F2</f>
        <v>0.4</v>
      </c>
    </row>
    <row r="3" spans="2:14" x14ac:dyDescent="0.3">
      <c r="B3">
        <v>2</v>
      </c>
      <c r="C3">
        <v>36.5</v>
      </c>
      <c r="D3">
        <v>35.5</v>
      </c>
      <c r="E3">
        <v>2</v>
      </c>
      <c r="F3">
        <f t="shared" ref="F3:F11" si="0">C3-E3</f>
        <v>34.5</v>
      </c>
      <c r="G3">
        <v>16</v>
      </c>
      <c r="H3">
        <v>1.5</v>
      </c>
      <c r="I3">
        <f t="shared" ref="I3:I11" si="1">G3-H3</f>
        <v>14.5</v>
      </c>
      <c r="J3" s="1">
        <f t="shared" ref="J3:J11" si="2">I3/F3</f>
        <v>0.42028985507246375</v>
      </c>
    </row>
    <row r="4" spans="2:14" x14ac:dyDescent="0.3">
      <c r="B4">
        <v>3</v>
      </c>
      <c r="C4">
        <v>37</v>
      </c>
      <c r="D4">
        <v>34</v>
      </c>
      <c r="E4">
        <v>0</v>
      </c>
      <c r="F4">
        <f t="shared" si="0"/>
        <v>37</v>
      </c>
      <c r="G4">
        <v>16.5</v>
      </c>
      <c r="H4">
        <v>1.5</v>
      </c>
      <c r="I4">
        <f t="shared" si="1"/>
        <v>15</v>
      </c>
      <c r="J4" s="1">
        <f t="shared" si="2"/>
        <v>0.40540540540540543</v>
      </c>
    </row>
    <row r="5" spans="2:14" x14ac:dyDescent="0.3">
      <c r="B5">
        <v>4</v>
      </c>
      <c r="C5">
        <v>39</v>
      </c>
      <c r="D5">
        <v>38</v>
      </c>
      <c r="E5">
        <v>1.5</v>
      </c>
      <c r="F5">
        <f t="shared" si="0"/>
        <v>37.5</v>
      </c>
      <c r="G5">
        <v>17</v>
      </c>
      <c r="H5">
        <v>1.5</v>
      </c>
      <c r="I5">
        <f t="shared" si="1"/>
        <v>15.5</v>
      </c>
      <c r="J5" s="1">
        <f t="shared" si="2"/>
        <v>0.41333333333333333</v>
      </c>
    </row>
    <row r="6" spans="2:14" x14ac:dyDescent="0.3">
      <c r="B6">
        <v>5</v>
      </c>
      <c r="C6">
        <v>40.5</v>
      </c>
      <c r="D6">
        <v>39</v>
      </c>
      <c r="E6">
        <v>0</v>
      </c>
      <c r="F6">
        <f t="shared" si="0"/>
        <v>40.5</v>
      </c>
      <c r="G6">
        <v>18</v>
      </c>
      <c r="H6">
        <v>1.5</v>
      </c>
      <c r="I6">
        <f t="shared" si="1"/>
        <v>16.5</v>
      </c>
      <c r="J6" s="1">
        <f t="shared" si="2"/>
        <v>0.40740740740740738</v>
      </c>
    </row>
    <row r="7" spans="2:14" x14ac:dyDescent="0.3">
      <c r="B7">
        <v>6</v>
      </c>
      <c r="C7">
        <v>46</v>
      </c>
      <c r="D7">
        <v>44.5</v>
      </c>
      <c r="E7">
        <v>2</v>
      </c>
      <c r="F7">
        <f t="shared" si="0"/>
        <v>44</v>
      </c>
      <c r="G7">
        <v>17.5</v>
      </c>
      <c r="H7">
        <v>1.5</v>
      </c>
      <c r="I7">
        <f t="shared" si="1"/>
        <v>16</v>
      </c>
      <c r="J7" s="1">
        <f t="shared" si="2"/>
        <v>0.36363636363636365</v>
      </c>
    </row>
    <row r="8" spans="2:14" x14ac:dyDescent="0.3">
      <c r="B8">
        <v>7</v>
      </c>
      <c r="C8">
        <v>46.5</v>
      </c>
      <c r="D8">
        <v>43.5</v>
      </c>
      <c r="E8">
        <v>2</v>
      </c>
      <c r="F8">
        <f t="shared" si="0"/>
        <v>44.5</v>
      </c>
      <c r="G8">
        <v>21</v>
      </c>
      <c r="H8">
        <v>1.5</v>
      </c>
      <c r="I8">
        <f t="shared" si="1"/>
        <v>19.5</v>
      </c>
      <c r="J8" s="1">
        <f t="shared" si="2"/>
        <v>0.43820224719101125</v>
      </c>
    </row>
    <row r="9" spans="2:14" x14ac:dyDescent="0.3">
      <c r="B9">
        <v>8</v>
      </c>
      <c r="C9">
        <v>43</v>
      </c>
      <c r="D9">
        <v>39.5</v>
      </c>
      <c r="E9">
        <v>1</v>
      </c>
      <c r="F9">
        <f t="shared" si="0"/>
        <v>42</v>
      </c>
      <c r="G9">
        <v>17.5</v>
      </c>
      <c r="H9">
        <v>1.5</v>
      </c>
      <c r="I9">
        <f t="shared" si="1"/>
        <v>16</v>
      </c>
      <c r="J9" s="1">
        <f t="shared" si="2"/>
        <v>0.38095238095238093</v>
      </c>
    </row>
    <row r="10" spans="2:14" x14ac:dyDescent="0.3">
      <c r="B10">
        <v>9</v>
      </c>
      <c r="C10">
        <v>41</v>
      </c>
      <c r="D10">
        <v>39</v>
      </c>
      <c r="E10">
        <v>0.5</v>
      </c>
      <c r="F10">
        <f t="shared" si="0"/>
        <v>40.5</v>
      </c>
      <c r="G10">
        <v>20.5</v>
      </c>
      <c r="H10">
        <v>1.5</v>
      </c>
      <c r="I10">
        <f t="shared" si="1"/>
        <v>19</v>
      </c>
      <c r="J10" s="1">
        <f t="shared" si="2"/>
        <v>0.46913580246913578</v>
      </c>
    </row>
    <row r="11" spans="2:14" x14ac:dyDescent="0.3">
      <c r="B11">
        <v>10</v>
      </c>
      <c r="C11">
        <v>38.5</v>
      </c>
      <c r="D11">
        <v>37</v>
      </c>
      <c r="E11">
        <v>1</v>
      </c>
      <c r="F11">
        <f t="shared" si="0"/>
        <v>37.5</v>
      </c>
      <c r="G11">
        <v>17</v>
      </c>
      <c r="H11">
        <v>1.5</v>
      </c>
      <c r="I11">
        <f t="shared" si="1"/>
        <v>15.5</v>
      </c>
      <c r="J11" s="1">
        <f t="shared" si="2"/>
        <v>0.41333333333333333</v>
      </c>
    </row>
    <row r="12" spans="2:14" x14ac:dyDescent="0.3">
      <c r="J12" s="1"/>
    </row>
    <row r="13" spans="2:14" x14ac:dyDescent="0.3">
      <c r="B13" s="3" t="s">
        <v>7</v>
      </c>
      <c r="C13" s="3">
        <f>SUM(C2:C11)/10</f>
        <v>40.75</v>
      </c>
      <c r="D13" s="3">
        <f t="shared" ref="D13:J13" si="3">SUM(D2:D11)/10</f>
        <v>38.799999999999997</v>
      </c>
      <c r="E13" s="3">
        <f t="shared" si="3"/>
        <v>1.2</v>
      </c>
      <c r="F13" s="3">
        <f t="shared" si="3"/>
        <v>39.549999999999997</v>
      </c>
      <c r="G13" s="3">
        <f t="shared" si="3"/>
        <v>17.75</v>
      </c>
      <c r="H13" s="3">
        <f t="shared" si="3"/>
        <v>1.5</v>
      </c>
      <c r="I13" s="3">
        <f t="shared" si="3"/>
        <v>16.25</v>
      </c>
      <c r="J13" s="2">
        <f t="shared" si="3"/>
        <v>0.41116961288008352</v>
      </c>
    </row>
    <row r="15" spans="2:14" x14ac:dyDescent="0.3">
      <c r="M15" t="s">
        <v>7</v>
      </c>
      <c r="N15" s="13">
        <f>AVERAGE(I2:I6)</f>
        <v>15.3</v>
      </c>
    </row>
    <row r="16" spans="2:14" x14ac:dyDescent="0.3">
      <c r="C16" s="4"/>
      <c r="D16" s="5"/>
      <c r="E16" s="5"/>
      <c r="M16" t="s">
        <v>20</v>
      </c>
      <c r="N16" s="13">
        <f>STDEVA(I2:I6)</f>
        <v>0.758287544405155</v>
      </c>
    </row>
    <row r="17" spans="1:14" x14ac:dyDescent="0.3">
      <c r="A17" t="s">
        <v>17</v>
      </c>
      <c r="B17">
        <v>379</v>
      </c>
      <c r="C17" s="6">
        <f>CONVERT(B17,"mm","in")</f>
        <v>14.921259842519685</v>
      </c>
      <c r="D17" s="5" t="s">
        <v>10</v>
      </c>
      <c r="E17" s="5"/>
      <c r="M17" t="s">
        <v>21</v>
      </c>
      <c r="N17" s="13">
        <f>VARA(I2:I6)</f>
        <v>0.57499999999999996</v>
      </c>
    </row>
    <row r="18" spans="1:14" ht="15" thickBot="1" x14ac:dyDescent="0.35">
      <c r="A18" t="s">
        <v>18</v>
      </c>
      <c r="B18">
        <v>377</v>
      </c>
      <c r="C18" s="6">
        <f>CONVERT(B18,"mm","in")</f>
        <v>14.84251968503937</v>
      </c>
      <c r="D18" s="5" t="s">
        <v>10</v>
      </c>
      <c r="E18" s="5"/>
    </row>
    <row r="19" spans="1:14" ht="29.4" thickBot="1" x14ac:dyDescent="0.35">
      <c r="C19" s="7" t="s">
        <v>14</v>
      </c>
      <c r="D19" s="14">
        <f>I13-C17</f>
        <v>1.3287401574803148</v>
      </c>
      <c r="E19" s="9" t="s">
        <v>10</v>
      </c>
      <c r="G19" t="s">
        <v>15</v>
      </c>
      <c r="H19" s="1">
        <f>C17/I13</f>
        <v>0.9182313749242883</v>
      </c>
    </row>
    <row r="20" spans="1:14" ht="15" thickBot="1" x14ac:dyDescent="0.35">
      <c r="C20" s="10"/>
      <c r="D20" s="11">
        <f>CONVERT(D19,"in","mm")</f>
        <v>33.749999999999993</v>
      </c>
      <c r="E20" s="12" t="s">
        <v>13</v>
      </c>
    </row>
    <row r="23" spans="1:14" x14ac:dyDescent="0.3">
      <c r="A23" t="s">
        <v>19</v>
      </c>
      <c r="B23">
        <v>1.0580000000000001</v>
      </c>
      <c r="C23">
        <f>CONVERT(B23,"m","in")</f>
        <v>41.653543307086615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4"/>
  <sheetViews>
    <sheetView workbookViewId="0">
      <selection activeCell="J23" sqref="J23"/>
    </sheetView>
  </sheetViews>
  <sheetFormatPr defaultRowHeight="14.4" x14ac:dyDescent="0.3"/>
  <cols>
    <col min="3" max="3" width="16.6640625" customWidth="1"/>
    <col min="4" max="4" width="13.44140625" bestFit="1" customWidth="1"/>
    <col min="7" max="7" width="26.88671875" bestFit="1" customWidth="1"/>
    <col min="9" max="9" width="11.21875" bestFit="1" customWidth="1"/>
  </cols>
  <sheetData>
    <row r="1" spans="1:14" x14ac:dyDescent="0.3">
      <c r="B1" t="s">
        <v>0</v>
      </c>
      <c r="C1" t="s">
        <v>4</v>
      </c>
      <c r="D1" t="s">
        <v>5</v>
      </c>
      <c r="E1" t="s">
        <v>6</v>
      </c>
      <c r="F1" t="s">
        <v>8</v>
      </c>
      <c r="G1" t="s">
        <v>2</v>
      </c>
      <c r="H1" t="s">
        <v>1</v>
      </c>
      <c r="I1" t="s">
        <v>3</v>
      </c>
      <c r="J1" t="s">
        <v>9</v>
      </c>
    </row>
    <row r="2" spans="1:14" x14ac:dyDescent="0.3">
      <c r="B2">
        <v>1</v>
      </c>
      <c r="C2">
        <v>7</v>
      </c>
      <c r="D2">
        <v>6</v>
      </c>
      <c r="F2">
        <f>C2-E2</f>
        <v>7</v>
      </c>
      <c r="G2">
        <v>3.5</v>
      </c>
      <c r="H2">
        <v>1.5</v>
      </c>
      <c r="I2">
        <f>G2-H2</f>
        <v>2</v>
      </c>
      <c r="J2" s="1">
        <f>I2/F2</f>
        <v>0.2857142857142857</v>
      </c>
    </row>
    <row r="3" spans="1:14" x14ac:dyDescent="0.3">
      <c r="B3">
        <v>1</v>
      </c>
      <c r="C3">
        <v>7</v>
      </c>
      <c r="D3">
        <v>7</v>
      </c>
      <c r="F3">
        <f t="shared" ref="F3:F10" si="0">C3-E3</f>
        <v>7</v>
      </c>
      <c r="G3">
        <v>4</v>
      </c>
      <c r="H3">
        <v>1.5</v>
      </c>
      <c r="I3">
        <f t="shared" ref="I3:I10" si="1">G3-H3</f>
        <v>2.5</v>
      </c>
      <c r="J3" s="1">
        <f t="shared" ref="J3:J10" si="2">I3/F3</f>
        <v>0.35714285714285715</v>
      </c>
    </row>
    <row r="4" spans="1:14" x14ac:dyDescent="0.3">
      <c r="B4">
        <v>2</v>
      </c>
      <c r="C4">
        <v>7</v>
      </c>
      <c r="D4">
        <v>5</v>
      </c>
      <c r="F4">
        <f t="shared" si="0"/>
        <v>7</v>
      </c>
      <c r="G4">
        <v>3.5</v>
      </c>
      <c r="H4">
        <v>1.5</v>
      </c>
      <c r="I4">
        <f t="shared" si="1"/>
        <v>2</v>
      </c>
      <c r="J4" s="1">
        <f t="shared" si="2"/>
        <v>0.2857142857142857</v>
      </c>
    </row>
    <row r="5" spans="1:14" x14ac:dyDescent="0.3">
      <c r="B5">
        <v>2</v>
      </c>
      <c r="C5">
        <v>6</v>
      </c>
      <c r="D5">
        <v>5</v>
      </c>
      <c r="F5">
        <f t="shared" si="0"/>
        <v>6</v>
      </c>
      <c r="G5">
        <v>3.5</v>
      </c>
      <c r="H5">
        <v>1.5</v>
      </c>
      <c r="I5">
        <f t="shared" si="1"/>
        <v>2</v>
      </c>
      <c r="J5" s="1">
        <f t="shared" si="2"/>
        <v>0.33333333333333331</v>
      </c>
    </row>
    <row r="6" spans="1:14" x14ac:dyDescent="0.3">
      <c r="B6">
        <v>3</v>
      </c>
      <c r="C6">
        <v>6.5</v>
      </c>
      <c r="D6">
        <v>5.5</v>
      </c>
      <c r="F6">
        <f t="shared" si="0"/>
        <v>6.5</v>
      </c>
      <c r="G6">
        <v>3.5</v>
      </c>
      <c r="H6">
        <v>2</v>
      </c>
      <c r="I6">
        <f t="shared" si="1"/>
        <v>1.5</v>
      </c>
      <c r="J6" s="1">
        <f t="shared" si="2"/>
        <v>0.23076923076923078</v>
      </c>
    </row>
    <row r="7" spans="1:14" x14ac:dyDescent="0.3">
      <c r="B7">
        <v>3</v>
      </c>
      <c r="C7">
        <v>6.5</v>
      </c>
      <c r="D7">
        <v>5.5</v>
      </c>
      <c r="F7">
        <f t="shared" si="0"/>
        <v>6.5</v>
      </c>
      <c r="G7">
        <v>3.5</v>
      </c>
      <c r="H7">
        <v>2</v>
      </c>
      <c r="I7">
        <f t="shared" si="1"/>
        <v>1.5</v>
      </c>
      <c r="J7" s="1">
        <f t="shared" si="2"/>
        <v>0.23076923076923078</v>
      </c>
    </row>
    <row r="8" spans="1:14" x14ac:dyDescent="0.3">
      <c r="B8">
        <v>4</v>
      </c>
      <c r="C8">
        <v>7</v>
      </c>
      <c r="D8">
        <v>6</v>
      </c>
      <c r="F8">
        <f t="shared" si="0"/>
        <v>7</v>
      </c>
      <c r="G8">
        <v>3.5</v>
      </c>
      <c r="H8">
        <v>2</v>
      </c>
      <c r="I8">
        <f t="shared" si="1"/>
        <v>1.5</v>
      </c>
      <c r="J8" s="1">
        <f t="shared" si="2"/>
        <v>0.21428571428571427</v>
      </c>
    </row>
    <row r="9" spans="1:14" x14ac:dyDescent="0.3">
      <c r="B9">
        <v>5</v>
      </c>
      <c r="C9">
        <v>6.5</v>
      </c>
      <c r="D9">
        <v>4.5</v>
      </c>
      <c r="F9">
        <f t="shared" si="0"/>
        <v>6.5</v>
      </c>
      <c r="G9">
        <v>3.5</v>
      </c>
      <c r="H9">
        <v>2</v>
      </c>
      <c r="I9">
        <f t="shared" si="1"/>
        <v>1.5</v>
      </c>
      <c r="J9" s="1">
        <f t="shared" si="2"/>
        <v>0.23076923076923078</v>
      </c>
    </row>
    <row r="10" spans="1:14" x14ac:dyDescent="0.3">
      <c r="B10">
        <v>6</v>
      </c>
      <c r="C10">
        <v>8</v>
      </c>
      <c r="D10">
        <v>6.5</v>
      </c>
      <c r="F10">
        <f t="shared" si="0"/>
        <v>8</v>
      </c>
      <c r="G10">
        <v>4</v>
      </c>
      <c r="H10">
        <v>2</v>
      </c>
      <c r="I10">
        <f t="shared" si="1"/>
        <v>2</v>
      </c>
      <c r="J10" s="1">
        <f t="shared" si="2"/>
        <v>0.25</v>
      </c>
    </row>
    <row r="11" spans="1:14" x14ac:dyDescent="0.3">
      <c r="J11" s="1"/>
    </row>
    <row r="12" spans="1:14" x14ac:dyDescent="0.3">
      <c r="J12" s="1"/>
    </row>
    <row r="13" spans="1:14" x14ac:dyDescent="0.3">
      <c r="B13" s="3" t="s">
        <v>7</v>
      </c>
      <c r="C13" s="3">
        <f>SUM(C2:C10)/10</f>
        <v>6.15</v>
      </c>
      <c r="D13" s="3">
        <f t="shared" ref="D13:I13" si="3">SUM(D2:D11)/10</f>
        <v>5.0999999999999996</v>
      </c>
      <c r="E13" s="3">
        <f t="shared" si="3"/>
        <v>0</v>
      </c>
      <c r="F13" s="3">
        <f t="shared" si="3"/>
        <v>6.15</v>
      </c>
      <c r="G13" s="3">
        <f t="shared" si="3"/>
        <v>3.25</v>
      </c>
      <c r="H13" s="3">
        <f t="shared" si="3"/>
        <v>1.6</v>
      </c>
      <c r="I13" s="20">
        <f t="shared" si="3"/>
        <v>1.65</v>
      </c>
      <c r="J13" s="21">
        <f>SUM(J2:J11)/10</f>
        <v>0.24184981684981682</v>
      </c>
    </row>
    <row r="15" spans="1:14" x14ac:dyDescent="0.3">
      <c r="M15" t="s">
        <v>7</v>
      </c>
      <c r="N15" s="13">
        <f>AVERAGE(I2:I10)</f>
        <v>1.8333333333333333</v>
      </c>
    </row>
    <row r="16" spans="1:14" x14ac:dyDescent="0.3">
      <c r="A16" s="27"/>
      <c r="B16" s="27" t="s">
        <v>44</v>
      </c>
      <c r="C16" s="28" t="s">
        <v>43</v>
      </c>
      <c r="D16" s="32"/>
      <c r="E16" s="33" t="s">
        <v>45</v>
      </c>
      <c r="M16" t="s">
        <v>20</v>
      </c>
      <c r="N16" s="13">
        <f>STDEVA(I2:I10)</f>
        <v>0.35355339059327379</v>
      </c>
    </row>
    <row r="17" spans="1:14" x14ac:dyDescent="0.3">
      <c r="A17" s="27" t="s">
        <v>17</v>
      </c>
      <c r="B17" s="27">
        <v>26</v>
      </c>
      <c r="C17" s="29">
        <f>CONVERT(B17,"mm","in")</f>
        <v>1.0236220472440944</v>
      </c>
      <c r="D17" s="32" t="s">
        <v>10</v>
      </c>
      <c r="E17" s="5"/>
      <c r="M17" t="s">
        <v>21</v>
      </c>
      <c r="N17" s="13">
        <f>VARA(I2:I10)</f>
        <v>0.125</v>
      </c>
    </row>
    <row r="18" spans="1:14" x14ac:dyDescent="0.3">
      <c r="A18" s="27" t="s">
        <v>18</v>
      </c>
      <c r="B18" s="27">
        <v>22</v>
      </c>
      <c r="C18" s="29">
        <f>CONVERT(B18,"mm","in")</f>
        <v>0.86614173228346458</v>
      </c>
      <c r="D18" s="32" t="s">
        <v>10</v>
      </c>
      <c r="E18" s="5"/>
    </row>
    <row r="19" spans="1:14" ht="15" thickBot="1" x14ac:dyDescent="0.35">
      <c r="A19" s="27" t="s">
        <v>39</v>
      </c>
      <c r="B19" s="27">
        <f>AVERAGE(B17:B18)</f>
        <v>24</v>
      </c>
      <c r="C19" s="30">
        <f>AVERAGE(C17:C18)</f>
        <v>0.94488188976377951</v>
      </c>
      <c r="D19" s="32"/>
      <c r="E19" s="5"/>
    </row>
    <row r="20" spans="1:14" ht="29.4" thickBot="1" x14ac:dyDescent="0.35">
      <c r="C20" s="26" t="s">
        <v>14</v>
      </c>
      <c r="D20" s="31">
        <f>I13-((C17+C18)/2)</f>
        <v>0.7051181102362204</v>
      </c>
      <c r="E20" s="9" t="s">
        <v>25</v>
      </c>
      <c r="G20" t="s">
        <v>15</v>
      </c>
      <c r="H20" s="1">
        <f>C17/I13</f>
        <v>0.62037699832975424</v>
      </c>
    </row>
    <row r="21" spans="1:14" ht="15" thickBot="1" x14ac:dyDescent="0.35">
      <c r="C21" s="10"/>
      <c r="D21" s="23">
        <f>CONVERT(D20,"in","mm")</f>
        <v>17.909999999999997</v>
      </c>
      <c r="E21" s="12" t="s">
        <v>26</v>
      </c>
      <c r="H21" s="38">
        <f>(C19-I13)/I13</f>
        <v>-0.42734430923407302</v>
      </c>
    </row>
    <row r="22" spans="1:14" ht="15" thickBot="1" x14ac:dyDescent="0.35"/>
    <row r="23" spans="1:14" x14ac:dyDescent="0.3">
      <c r="A23" s="15"/>
      <c r="B23" s="16" t="s">
        <v>23</v>
      </c>
      <c r="C23" s="17" t="s">
        <v>24</v>
      </c>
    </row>
    <row r="24" spans="1:14" ht="15" thickBot="1" x14ac:dyDescent="0.35">
      <c r="A24" s="10" t="s">
        <v>19</v>
      </c>
      <c r="B24" s="18">
        <v>0.2</v>
      </c>
      <c r="C24" s="19">
        <f>CONVERT(B24,"m","in")</f>
        <v>7.8740157480314963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5"/>
  <sheetViews>
    <sheetView zoomScale="90" zoomScaleNormal="90" workbookViewId="0">
      <selection activeCell="J27" sqref="J27"/>
    </sheetView>
  </sheetViews>
  <sheetFormatPr defaultRowHeight="14.4" x14ac:dyDescent="0.3"/>
  <cols>
    <col min="1" max="1" width="14.77734375" bestFit="1" customWidth="1"/>
    <col min="3" max="3" width="16.6640625" customWidth="1"/>
    <col min="4" max="4" width="15.6640625" bestFit="1" customWidth="1"/>
    <col min="5" max="5" width="14.6640625" bestFit="1" customWidth="1"/>
    <col min="6" max="6" width="15.6640625" bestFit="1" customWidth="1"/>
    <col min="7" max="7" width="27.33203125" bestFit="1" customWidth="1"/>
    <col min="8" max="8" width="14.6640625" bestFit="1" customWidth="1"/>
    <col min="9" max="9" width="11.21875" bestFit="1" customWidth="1"/>
  </cols>
  <sheetData>
    <row r="1" spans="2:14" x14ac:dyDescent="0.3">
      <c r="B1" t="s">
        <v>0</v>
      </c>
      <c r="C1" t="s">
        <v>4</v>
      </c>
      <c r="D1" t="s">
        <v>5</v>
      </c>
      <c r="E1" t="s">
        <v>6</v>
      </c>
      <c r="F1" t="s">
        <v>8</v>
      </c>
      <c r="G1" t="s">
        <v>2</v>
      </c>
      <c r="H1" t="s">
        <v>1</v>
      </c>
      <c r="I1" t="s">
        <v>3</v>
      </c>
      <c r="J1" t="s">
        <v>9</v>
      </c>
    </row>
    <row r="2" spans="2:14" x14ac:dyDescent="0.3">
      <c r="B2" t="s">
        <v>27</v>
      </c>
      <c r="C2">
        <v>24.5</v>
      </c>
      <c r="D2">
        <v>15</v>
      </c>
      <c r="E2">
        <v>0</v>
      </c>
      <c r="F2">
        <f>C2-E2</f>
        <v>24.5</v>
      </c>
      <c r="G2">
        <v>7.5</v>
      </c>
      <c r="H2">
        <v>3</v>
      </c>
      <c r="I2">
        <f>G2-H2</f>
        <v>4.5</v>
      </c>
      <c r="J2" s="1">
        <f>I2/F2</f>
        <v>0.18367346938775511</v>
      </c>
    </row>
    <row r="3" spans="2:14" x14ac:dyDescent="0.3">
      <c r="B3" t="s">
        <v>28</v>
      </c>
      <c r="C3">
        <v>24.5</v>
      </c>
      <c r="D3">
        <v>19.5</v>
      </c>
      <c r="E3">
        <v>0</v>
      </c>
      <c r="F3">
        <f t="shared" ref="F3:F13" si="0">C3-E3</f>
        <v>24.5</v>
      </c>
      <c r="G3">
        <v>7.5</v>
      </c>
      <c r="H3">
        <v>3</v>
      </c>
      <c r="I3">
        <f t="shared" ref="I3:I13" si="1">G3-H3</f>
        <v>4.5</v>
      </c>
      <c r="J3" s="1">
        <f t="shared" ref="J3:J13" si="2">I3/F3</f>
        <v>0.18367346938775511</v>
      </c>
    </row>
    <row r="4" spans="2:14" x14ac:dyDescent="0.3">
      <c r="B4" t="s">
        <v>29</v>
      </c>
      <c r="C4">
        <v>24.5</v>
      </c>
      <c r="D4">
        <v>22.5</v>
      </c>
      <c r="E4">
        <v>0</v>
      </c>
      <c r="F4">
        <f t="shared" si="0"/>
        <v>24.5</v>
      </c>
      <c r="G4">
        <v>8</v>
      </c>
      <c r="H4">
        <v>3</v>
      </c>
      <c r="I4">
        <f t="shared" si="1"/>
        <v>5</v>
      </c>
      <c r="J4" s="1">
        <f t="shared" si="2"/>
        <v>0.20408163265306123</v>
      </c>
    </row>
    <row r="5" spans="2:14" x14ac:dyDescent="0.3">
      <c r="B5" t="s">
        <v>30</v>
      </c>
      <c r="C5">
        <v>23</v>
      </c>
      <c r="D5">
        <v>21.5</v>
      </c>
      <c r="E5">
        <v>1</v>
      </c>
      <c r="F5">
        <f t="shared" si="0"/>
        <v>22</v>
      </c>
      <c r="G5">
        <v>8</v>
      </c>
      <c r="H5">
        <v>3</v>
      </c>
      <c r="I5">
        <f t="shared" si="1"/>
        <v>5</v>
      </c>
      <c r="J5" s="1">
        <f t="shared" si="2"/>
        <v>0.22727272727272727</v>
      </c>
    </row>
    <row r="6" spans="2:14" x14ac:dyDescent="0.3">
      <c r="B6" t="s">
        <v>31</v>
      </c>
      <c r="C6">
        <v>22</v>
      </c>
      <c r="D6">
        <v>20</v>
      </c>
      <c r="E6">
        <v>0</v>
      </c>
      <c r="F6">
        <f t="shared" si="0"/>
        <v>22</v>
      </c>
      <c r="G6">
        <v>8</v>
      </c>
      <c r="H6">
        <v>3</v>
      </c>
      <c r="I6">
        <f t="shared" si="1"/>
        <v>5</v>
      </c>
      <c r="J6" s="1">
        <f t="shared" si="2"/>
        <v>0.22727272727272727</v>
      </c>
    </row>
    <row r="7" spans="2:14" x14ac:dyDescent="0.3">
      <c r="B7" t="s">
        <v>32</v>
      </c>
      <c r="C7">
        <v>22</v>
      </c>
      <c r="D7">
        <v>19</v>
      </c>
      <c r="E7">
        <v>0</v>
      </c>
      <c r="F7">
        <f t="shared" si="0"/>
        <v>22</v>
      </c>
      <c r="G7">
        <v>8</v>
      </c>
      <c r="H7">
        <v>3</v>
      </c>
      <c r="I7">
        <f t="shared" si="1"/>
        <v>5</v>
      </c>
      <c r="J7" s="1">
        <f t="shared" si="2"/>
        <v>0.22727272727272727</v>
      </c>
    </row>
    <row r="8" spans="2:14" x14ac:dyDescent="0.3">
      <c r="B8" t="s">
        <v>33</v>
      </c>
      <c r="C8">
        <v>22.5</v>
      </c>
      <c r="D8">
        <v>19</v>
      </c>
      <c r="E8">
        <v>0</v>
      </c>
      <c r="F8">
        <f t="shared" si="0"/>
        <v>22.5</v>
      </c>
      <c r="G8">
        <v>10</v>
      </c>
      <c r="H8">
        <v>4</v>
      </c>
      <c r="I8">
        <f t="shared" si="1"/>
        <v>6</v>
      </c>
      <c r="J8" s="1">
        <f t="shared" si="2"/>
        <v>0.26666666666666666</v>
      </c>
    </row>
    <row r="9" spans="2:14" x14ac:dyDescent="0.3">
      <c r="B9" t="s">
        <v>34</v>
      </c>
      <c r="C9">
        <v>21</v>
      </c>
      <c r="D9">
        <v>19.5</v>
      </c>
      <c r="E9">
        <v>0</v>
      </c>
      <c r="F9">
        <f t="shared" si="0"/>
        <v>21</v>
      </c>
      <c r="G9">
        <v>8</v>
      </c>
      <c r="H9">
        <v>3.5</v>
      </c>
      <c r="I9">
        <f t="shared" si="1"/>
        <v>4.5</v>
      </c>
      <c r="J9" s="1">
        <f t="shared" si="2"/>
        <v>0.21428571428571427</v>
      </c>
    </row>
    <row r="10" spans="2:14" x14ac:dyDescent="0.3">
      <c r="B10" t="s">
        <v>35</v>
      </c>
      <c r="C10">
        <v>23.5</v>
      </c>
      <c r="D10">
        <v>19</v>
      </c>
      <c r="E10">
        <v>0</v>
      </c>
      <c r="F10">
        <f t="shared" si="0"/>
        <v>23.5</v>
      </c>
      <c r="G10">
        <v>8.5</v>
      </c>
      <c r="H10">
        <v>3.5</v>
      </c>
      <c r="I10">
        <f t="shared" si="1"/>
        <v>5</v>
      </c>
      <c r="J10" s="1">
        <f t="shared" si="2"/>
        <v>0.21276595744680851</v>
      </c>
    </row>
    <row r="11" spans="2:14" x14ac:dyDescent="0.3">
      <c r="B11" t="s">
        <v>36</v>
      </c>
      <c r="C11">
        <v>22.5</v>
      </c>
      <c r="D11">
        <v>20</v>
      </c>
      <c r="E11">
        <v>0</v>
      </c>
      <c r="F11">
        <f t="shared" si="0"/>
        <v>22.5</v>
      </c>
      <c r="G11">
        <v>8.5</v>
      </c>
      <c r="H11">
        <v>3.5</v>
      </c>
      <c r="I11">
        <f t="shared" si="1"/>
        <v>5</v>
      </c>
      <c r="J11" s="1">
        <f t="shared" si="2"/>
        <v>0.22222222222222221</v>
      </c>
    </row>
    <row r="12" spans="2:14" x14ac:dyDescent="0.3">
      <c r="B12" t="s">
        <v>37</v>
      </c>
      <c r="C12">
        <v>22.5</v>
      </c>
      <c r="D12">
        <v>18.5</v>
      </c>
      <c r="E12">
        <v>0</v>
      </c>
      <c r="F12">
        <f t="shared" si="0"/>
        <v>22.5</v>
      </c>
      <c r="G12">
        <v>8</v>
      </c>
      <c r="H12">
        <v>3</v>
      </c>
      <c r="I12">
        <f t="shared" si="1"/>
        <v>5</v>
      </c>
      <c r="J12" s="1">
        <f t="shared" si="2"/>
        <v>0.22222222222222221</v>
      </c>
    </row>
    <row r="13" spans="2:14" x14ac:dyDescent="0.3">
      <c r="B13" t="s">
        <v>38</v>
      </c>
      <c r="C13">
        <v>23</v>
      </c>
      <c r="D13">
        <v>20.5</v>
      </c>
      <c r="E13">
        <v>1</v>
      </c>
      <c r="F13">
        <f t="shared" si="0"/>
        <v>22</v>
      </c>
      <c r="G13">
        <v>8</v>
      </c>
      <c r="H13">
        <v>3.5</v>
      </c>
      <c r="I13">
        <f t="shared" si="1"/>
        <v>4.5</v>
      </c>
      <c r="J13" s="1">
        <f t="shared" si="2"/>
        <v>0.20454545454545456</v>
      </c>
    </row>
    <row r="14" spans="2:14" x14ac:dyDescent="0.3">
      <c r="B14" s="3" t="s">
        <v>7</v>
      </c>
      <c r="C14" s="25">
        <f t="shared" ref="C14:J14" si="3">SUM(C2:C13)/12</f>
        <v>22.958333333333332</v>
      </c>
      <c r="D14" s="25">
        <f t="shared" si="3"/>
        <v>19.5</v>
      </c>
      <c r="E14" s="25">
        <f t="shared" si="3"/>
        <v>0.16666666666666666</v>
      </c>
      <c r="F14" s="25">
        <f t="shared" si="3"/>
        <v>22.791666666666668</v>
      </c>
      <c r="G14" s="25">
        <f t="shared" si="3"/>
        <v>8.1666666666666661</v>
      </c>
      <c r="H14" s="25">
        <f t="shared" si="3"/>
        <v>3.25</v>
      </c>
      <c r="I14" s="24">
        <f t="shared" si="3"/>
        <v>4.916666666666667</v>
      </c>
      <c r="J14" s="2">
        <f t="shared" si="3"/>
        <v>0.21632958255298682</v>
      </c>
    </row>
    <row r="16" spans="2:14" x14ac:dyDescent="0.3">
      <c r="M16" t="s">
        <v>7</v>
      </c>
      <c r="N16" s="13">
        <f>AVERAGE(I2:I10)</f>
        <v>4.9444444444444446</v>
      </c>
    </row>
    <row r="17" spans="1:14" x14ac:dyDescent="0.3">
      <c r="A17" s="27"/>
      <c r="B17" s="27" t="s">
        <v>41</v>
      </c>
      <c r="C17" s="28" t="s">
        <v>40</v>
      </c>
      <c r="D17" s="5"/>
      <c r="E17" s="5"/>
      <c r="M17" t="s">
        <v>20</v>
      </c>
      <c r="N17" s="13">
        <f>STDEVA(I2:I10)</f>
        <v>0.4639803635691685</v>
      </c>
    </row>
    <row r="18" spans="1:14" x14ac:dyDescent="0.3">
      <c r="A18" s="27" t="s">
        <v>17</v>
      </c>
      <c r="B18" s="27">
        <v>130</v>
      </c>
      <c r="C18" s="29">
        <f>CONVERT(B18,"mm","in")</f>
        <v>5.1181102362204731</v>
      </c>
      <c r="D18" s="5"/>
      <c r="E18" s="5"/>
      <c r="M18" t="s">
        <v>21</v>
      </c>
      <c r="N18" s="13">
        <f>VARA(I2:I10)</f>
        <v>0.21527777777777779</v>
      </c>
    </row>
    <row r="19" spans="1:14" x14ac:dyDescent="0.3">
      <c r="A19" s="27" t="s">
        <v>18</v>
      </c>
      <c r="B19" s="27">
        <v>122</v>
      </c>
      <c r="C19" s="29">
        <f>CONVERT(B19,"mm","in")</f>
        <v>4.8031496062992129</v>
      </c>
      <c r="D19" s="5"/>
      <c r="E19" s="5"/>
    </row>
    <row r="20" spans="1:14" ht="15" thickBot="1" x14ac:dyDescent="0.35">
      <c r="A20" s="27" t="s">
        <v>39</v>
      </c>
      <c r="B20" s="27">
        <f>AVERAGE(B18:B19)</f>
        <v>126</v>
      </c>
      <c r="C20" s="30">
        <f>AVERAGE(C18:C19)</f>
        <v>4.9606299212598426</v>
      </c>
      <c r="D20" s="5"/>
      <c r="E20" s="5"/>
    </row>
    <row r="21" spans="1:14" ht="29.4" thickBot="1" x14ac:dyDescent="0.35">
      <c r="C21" s="26" t="s">
        <v>14</v>
      </c>
      <c r="D21" s="22">
        <f>I14-((C18+C19)/2)</f>
        <v>-4.3963254593175627E-2</v>
      </c>
      <c r="E21" s="9" t="s">
        <v>25</v>
      </c>
      <c r="G21" t="s">
        <v>15</v>
      </c>
      <c r="H21" s="1">
        <f>C18/I14</f>
        <v>1.0409715734685707</v>
      </c>
    </row>
    <row r="22" spans="1:14" ht="15" thickBot="1" x14ac:dyDescent="0.35">
      <c r="C22" s="10"/>
      <c r="D22" s="23">
        <f>CONVERT(D21,"in","mm")</f>
        <v>-1.1166666666666607</v>
      </c>
      <c r="E22" s="12" t="s">
        <v>26</v>
      </c>
      <c r="G22" t="s">
        <v>53</v>
      </c>
      <c r="H22" s="38">
        <f>(C20-I14)/I14</f>
        <v>8.9416789003069069E-3</v>
      </c>
    </row>
    <row r="23" spans="1:14" ht="15" thickBot="1" x14ac:dyDescent="0.35"/>
    <row r="24" spans="1:14" x14ac:dyDescent="0.3">
      <c r="A24" s="15" t="s">
        <v>42</v>
      </c>
      <c r="B24" s="16" t="s">
        <v>23</v>
      </c>
      <c r="C24" s="17" t="s">
        <v>24</v>
      </c>
    </row>
    <row r="25" spans="1:14" ht="15" thickBot="1" x14ac:dyDescent="0.35">
      <c r="A25" s="10" t="s">
        <v>19</v>
      </c>
      <c r="B25" s="18">
        <v>0.56999999999999995</v>
      </c>
      <c r="C25" s="19">
        <f>CONVERT(B25,"m","in")</f>
        <v>22.440944881889759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workbookViewId="0">
      <selection activeCell="D15" sqref="D15"/>
    </sheetView>
  </sheetViews>
  <sheetFormatPr defaultRowHeight="14.4" x14ac:dyDescent="0.3"/>
  <cols>
    <col min="1" max="1" width="17" bestFit="1" customWidth="1"/>
    <col min="3" max="3" width="16.6640625" customWidth="1"/>
    <col min="4" max="4" width="15.6640625" bestFit="1" customWidth="1"/>
    <col min="5" max="5" width="14.6640625" bestFit="1" customWidth="1"/>
    <col min="6" max="6" width="15.6640625" bestFit="1" customWidth="1"/>
    <col min="7" max="7" width="16.44140625" customWidth="1"/>
    <col min="8" max="8" width="14.6640625" bestFit="1" customWidth="1"/>
    <col min="9" max="9" width="11.21875" bestFit="1" customWidth="1"/>
  </cols>
  <sheetData>
    <row r="1" spans="1:10" x14ac:dyDescent="0.3">
      <c r="A1" t="s">
        <v>46</v>
      </c>
      <c r="B1" t="s">
        <v>0</v>
      </c>
      <c r="C1" t="s">
        <v>4</v>
      </c>
      <c r="D1" t="s">
        <v>5</v>
      </c>
      <c r="E1" t="s">
        <v>6</v>
      </c>
      <c r="F1" t="s">
        <v>8</v>
      </c>
      <c r="G1" t="s">
        <v>2</v>
      </c>
      <c r="H1" t="s">
        <v>1</v>
      </c>
      <c r="I1" t="s">
        <v>3</v>
      </c>
      <c r="J1" t="s">
        <v>9</v>
      </c>
    </row>
    <row r="2" spans="1:10" x14ac:dyDescent="0.3">
      <c r="B2" t="s">
        <v>27</v>
      </c>
      <c r="J2" s="1"/>
    </row>
    <row r="3" spans="1:10" x14ac:dyDescent="0.3">
      <c r="B3" t="s">
        <v>28</v>
      </c>
      <c r="J3" s="1"/>
    </row>
    <row r="4" spans="1:10" x14ac:dyDescent="0.3">
      <c r="B4" t="s">
        <v>29</v>
      </c>
      <c r="C4">
        <v>51.5</v>
      </c>
      <c r="D4">
        <v>50.5</v>
      </c>
      <c r="E4">
        <v>0</v>
      </c>
      <c r="F4">
        <f t="shared" ref="F4:F13" si="0">C4-E4</f>
        <v>51.5</v>
      </c>
      <c r="G4">
        <v>16</v>
      </c>
      <c r="H4">
        <v>2.5</v>
      </c>
      <c r="I4">
        <f t="shared" ref="I4:I13" si="1">G4-H4</f>
        <v>13.5</v>
      </c>
      <c r="J4" s="1">
        <f>I4/F4</f>
        <v>0.26213592233009708</v>
      </c>
    </row>
    <row r="5" spans="1:10" x14ac:dyDescent="0.3">
      <c r="B5" t="s">
        <v>30</v>
      </c>
      <c r="C5">
        <v>53</v>
      </c>
      <c r="D5">
        <v>50.5</v>
      </c>
      <c r="E5">
        <v>0</v>
      </c>
      <c r="F5">
        <f t="shared" si="0"/>
        <v>53</v>
      </c>
      <c r="G5">
        <v>15.5</v>
      </c>
      <c r="H5">
        <v>2.5</v>
      </c>
      <c r="I5">
        <f t="shared" si="1"/>
        <v>13</v>
      </c>
      <c r="J5" s="1">
        <f t="shared" ref="J5:J13" si="2">I5/F5</f>
        <v>0.24528301886792453</v>
      </c>
    </row>
    <row r="6" spans="1:10" x14ac:dyDescent="0.3">
      <c r="B6" t="s">
        <v>31</v>
      </c>
      <c r="C6">
        <v>53</v>
      </c>
      <c r="D6">
        <v>48.5</v>
      </c>
      <c r="E6">
        <v>0</v>
      </c>
      <c r="F6">
        <f t="shared" si="0"/>
        <v>53</v>
      </c>
      <c r="G6">
        <v>15.5</v>
      </c>
      <c r="H6">
        <v>2.5</v>
      </c>
      <c r="I6">
        <f t="shared" si="1"/>
        <v>13</v>
      </c>
      <c r="J6" s="1">
        <f t="shared" si="2"/>
        <v>0.24528301886792453</v>
      </c>
    </row>
    <row r="7" spans="1:10" x14ac:dyDescent="0.3">
      <c r="B7" t="s">
        <v>32</v>
      </c>
      <c r="C7">
        <v>53</v>
      </c>
      <c r="D7">
        <v>52</v>
      </c>
      <c r="E7">
        <v>0</v>
      </c>
      <c r="F7">
        <f t="shared" si="0"/>
        <v>53</v>
      </c>
      <c r="G7">
        <v>16.5</v>
      </c>
      <c r="H7">
        <v>2.5</v>
      </c>
      <c r="I7">
        <f t="shared" si="1"/>
        <v>14</v>
      </c>
      <c r="J7" s="1">
        <f t="shared" si="2"/>
        <v>0.26415094339622641</v>
      </c>
    </row>
    <row r="8" spans="1:10" x14ac:dyDescent="0.3">
      <c r="B8" t="s">
        <v>33</v>
      </c>
      <c r="C8">
        <v>53</v>
      </c>
      <c r="D8">
        <v>42</v>
      </c>
      <c r="E8">
        <v>0</v>
      </c>
      <c r="F8">
        <f t="shared" si="0"/>
        <v>53</v>
      </c>
      <c r="G8">
        <v>15</v>
      </c>
      <c r="H8">
        <v>2.5</v>
      </c>
      <c r="I8">
        <f t="shared" si="1"/>
        <v>12.5</v>
      </c>
      <c r="J8" s="1">
        <f t="shared" si="2"/>
        <v>0.23584905660377359</v>
      </c>
    </row>
    <row r="9" spans="1:10" x14ac:dyDescent="0.3">
      <c r="B9" t="s">
        <v>34</v>
      </c>
      <c r="C9">
        <v>53</v>
      </c>
      <c r="D9">
        <v>44</v>
      </c>
      <c r="E9">
        <v>0</v>
      </c>
      <c r="F9">
        <f t="shared" si="0"/>
        <v>53</v>
      </c>
      <c r="G9">
        <v>15.5</v>
      </c>
      <c r="H9">
        <v>2.5</v>
      </c>
      <c r="I9">
        <f t="shared" si="1"/>
        <v>13</v>
      </c>
      <c r="J9" s="1">
        <f t="shared" si="2"/>
        <v>0.24528301886792453</v>
      </c>
    </row>
    <row r="10" spans="1:10" x14ac:dyDescent="0.3">
      <c r="B10" t="s">
        <v>35</v>
      </c>
      <c r="C10">
        <v>56</v>
      </c>
      <c r="D10">
        <v>48</v>
      </c>
      <c r="E10">
        <v>0</v>
      </c>
      <c r="F10">
        <f t="shared" si="0"/>
        <v>56</v>
      </c>
      <c r="G10">
        <v>16.5</v>
      </c>
      <c r="H10">
        <v>2.5</v>
      </c>
      <c r="I10">
        <f t="shared" si="1"/>
        <v>14</v>
      </c>
      <c r="J10" s="1">
        <f t="shared" si="2"/>
        <v>0.25</v>
      </c>
    </row>
    <row r="11" spans="1:10" x14ac:dyDescent="0.3">
      <c r="B11" t="s">
        <v>36</v>
      </c>
      <c r="C11">
        <v>56.5</v>
      </c>
      <c r="D11">
        <v>47</v>
      </c>
      <c r="E11">
        <v>0</v>
      </c>
      <c r="F11">
        <f t="shared" si="0"/>
        <v>56.5</v>
      </c>
      <c r="G11">
        <v>17</v>
      </c>
      <c r="H11">
        <v>2.5</v>
      </c>
      <c r="I11">
        <f t="shared" si="1"/>
        <v>14.5</v>
      </c>
      <c r="J11" s="1">
        <f t="shared" si="2"/>
        <v>0.25663716814159293</v>
      </c>
    </row>
    <row r="12" spans="1:10" x14ac:dyDescent="0.3">
      <c r="B12" t="s">
        <v>37</v>
      </c>
      <c r="C12">
        <v>52.5</v>
      </c>
      <c r="D12">
        <v>52</v>
      </c>
      <c r="E12">
        <v>0</v>
      </c>
      <c r="F12">
        <f t="shared" si="0"/>
        <v>52.5</v>
      </c>
      <c r="G12">
        <v>17</v>
      </c>
      <c r="H12">
        <v>2.5</v>
      </c>
      <c r="I12">
        <f t="shared" si="1"/>
        <v>14.5</v>
      </c>
      <c r="J12" s="1">
        <f t="shared" si="2"/>
        <v>0.27619047619047621</v>
      </c>
    </row>
    <row r="13" spans="1:10" x14ac:dyDescent="0.3">
      <c r="B13" t="s">
        <v>38</v>
      </c>
      <c r="C13">
        <v>53.5</v>
      </c>
      <c r="D13">
        <v>51</v>
      </c>
      <c r="E13">
        <v>0</v>
      </c>
      <c r="F13">
        <f t="shared" si="0"/>
        <v>53.5</v>
      </c>
      <c r="G13">
        <v>17</v>
      </c>
      <c r="H13">
        <v>2.5</v>
      </c>
      <c r="I13">
        <f t="shared" si="1"/>
        <v>14.5</v>
      </c>
      <c r="J13" s="1">
        <f t="shared" si="2"/>
        <v>0.27102803738317754</v>
      </c>
    </row>
    <row r="14" spans="1:10" x14ac:dyDescent="0.3">
      <c r="B14" s="3" t="s">
        <v>7</v>
      </c>
      <c r="C14" s="25">
        <f t="shared" ref="C14:H14" si="3">SUM(C4:C13)/10</f>
        <v>53.5</v>
      </c>
      <c r="D14" s="25">
        <f t="shared" si="3"/>
        <v>48.55</v>
      </c>
      <c r="E14" s="25">
        <f t="shared" si="3"/>
        <v>0</v>
      </c>
      <c r="F14" s="25">
        <f>SUM(F4:F13)/10</f>
        <v>53.5</v>
      </c>
      <c r="G14" s="25">
        <f>SUM(G4:G13)/10</f>
        <v>16.149999999999999</v>
      </c>
      <c r="H14" s="25">
        <f t="shared" si="3"/>
        <v>2.5</v>
      </c>
      <c r="I14" s="24">
        <f>SUM(I4:I13)/10</f>
        <v>13.65</v>
      </c>
      <c r="J14" s="2">
        <f>SUM(J4:J13)/10</f>
        <v>0.25518406606491173</v>
      </c>
    </row>
    <row r="15" spans="1:10" x14ac:dyDescent="0.3">
      <c r="C15">
        <f>CONVERT(C14,"in","m")</f>
        <v>1.3589</v>
      </c>
    </row>
    <row r="16" spans="1:10" x14ac:dyDescent="0.3">
      <c r="I16" t="s">
        <v>7</v>
      </c>
      <c r="J16" s="13">
        <f>AVERAGE(I4:I13)</f>
        <v>13.65</v>
      </c>
    </row>
    <row r="17" spans="1:10" x14ac:dyDescent="0.3">
      <c r="A17" s="27"/>
      <c r="B17" s="27" t="s">
        <v>41</v>
      </c>
      <c r="C17" s="28" t="s">
        <v>40</v>
      </c>
      <c r="D17" s="5"/>
      <c r="E17" s="5"/>
      <c r="I17" t="s">
        <v>20</v>
      </c>
      <c r="J17" s="13">
        <f>STDEVA(I4:I13)</f>
        <v>0.74721705904866309</v>
      </c>
    </row>
    <row r="18" spans="1:10" x14ac:dyDescent="0.3">
      <c r="A18" s="27" t="s">
        <v>17</v>
      </c>
      <c r="B18" s="27">
        <v>327</v>
      </c>
      <c r="C18" s="29">
        <f>CONVERT(B18,"mm","in")</f>
        <v>12.874015748031496</v>
      </c>
      <c r="D18" s="5"/>
      <c r="E18" s="5"/>
      <c r="I18" t="s">
        <v>21</v>
      </c>
      <c r="J18" s="13">
        <f>VARA(I4:I13)</f>
        <v>0.55833333333333324</v>
      </c>
    </row>
    <row r="19" spans="1:10" x14ac:dyDescent="0.3">
      <c r="A19" s="27" t="s">
        <v>18</v>
      </c>
      <c r="B19" s="27">
        <v>309</v>
      </c>
      <c r="C19" s="29">
        <f>CONVERT(B19,"mm","in")</f>
        <v>12.165354330708663</v>
      </c>
      <c r="D19" s="5"/>
      <c r="E19" s="5"/>
    </row>
    <row r="20" spans="1:10" ht="15" thickBot="1" x14ac:dyDescent="0.35">
      <c r="A20" s="27" t="s">
        <v>39</v>
      </c>
      <c r="B20" s="27">
        <f>AVERAGE(B18:B19)</f>
        <v>318</v>
      </c>
      <c r="C20" s="30">
        <f>AVERAGE(C18:C19)</f>
        <v>12.51968503937008</v>
      </c>
      <c r="D20" s="5"/>
      <c r="E20" s="5"/>
    </row>
    <row r="21" spans="1:10" ht="29.4" thickBot="1" x14ac:dyDescent="0.35">
      <c r="C21" s="26" t="s">
        <v>14</v>
      </c>
      <c r="D21" s="22">
        <f>I14-((C18+C19)/2)</f>
        <v>1.1303149606299208</v>
      </c>
      <c r="E21" s="9" t="s">
        <v>25</v>
      </c>
      <c r="G21" t="s">
        <v>15</v>
      </c>
      <c r="H21" s="1">
        <f>C18/I14</f>
        <v>0.94315133685212427</v>
      </c>
    </row>
    <row r="22" spans="1:10" ht="15" thickBot="1" x14ac:dyDescent="0.35">
      <c r="C22" s="10"/>
      <c r="D22" s="23">
        <f>CONVERT(D21,"in","mm")</f>
        <v>28.70999999999999</v>
      </c>
      <c r="E22" s="12" t="s">
        <v>26</v>
      </c>
      <c r="G22" t="s">
        <v>53</v>
      </c>
      <c r="H22" s="38">
        <f>(C20-I14)/I14</f>
        <v>-8.2806956822704822E-2</v>
      </c>
    </row>
    <row r="23" spans="1:10" ht="15" thickBot="1" x14ac:dyDescent="0.35"/>
    <row r="24" spans="1:10" x14ac:dyDescent="0.3">
      <c r="A24" s="15" t="s">
        <v>42</v>
      </c>
      <c r="B24" s="16" t="s">
        <v>23</v>
      </c>
      <c r="C24" s="17" t="s">
        <v>24</v>
      </c>
      <c r="D24" t="s">
        <v>47</v>
      </c>
    </row>
    <row r="25" spans="1:10" ht="15" thickBot="1" x14ac:dyDescent="0.35">
      <c r="A25" s="10" t="s">
        <v>19</v>
      </c>
      <c r="B25" s="18">
        <v>1.18</v>
      </c>
      <c r="C25" s="19">
        <f>CONVERT(B25,"m","in")</f>
        <v>46.45669291338583</v>
      </c>
      <c r="D25" s="35">
        <f>C14-C25</f>
        <v>7.0433070866141705</v>
      </c>
    </row>
    <row r="26" spans="1:10" x14ac:dyDescent="0.3">
      <c r="A26" s="34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6"/>
  <sheetViews>
    <sheetView zoomScale="90" zoomScaleNormal="90" workbookViewId="0">
      <selection activeCell="K18" sqref="K18"/>
    </sheetView>
  </sheetViews>
  <sheetFormatPr defaultRowHeight="14.4" x14ac:dyDescent="0.3"/>
  <cols>
    <col min="1" max="1" width="17" bestFit="1" customWidth="1"/>
    <col min="3" max="3" width="16.6640625" customWidth="1"/>
    <col min="4" max="4" width="15.6640625" bestFit="1" customWidth="1"/>
    <col min="5" max="5" width="14.6640625" bestFit="1" customWidth="1"/>
    <col min="6" max="6" width="15.6640625" bestFit="1" customWidth="1"/>
    <col min="7" max="7" width="27.33203125" bestFit="1" customWidth="1"/>
    <col min="8" max="8" width="14.6640625" bestFit="1" customWidth="1"/>
    <col min="9" max="9" width="11.21875" bestFit="1" customWidth="1"/>
  </cols>
  <sheetData>
    <row r="1" spans="1:10" x14ac:dyDescent="0.3">
      <c r="A1" t="s">
        <v>49</v>
      </c>
      <c r="B1" t="s">
        <v>0</v>
      </c>
      <c r="C1" t="s">
        <v>4</v>
      </c>
      <c r="D1" t="s">
        <v>5</v>
      </c>
      <c r="E1" t="s">
        <v>6</v>
      </c>
      <c r="F1" t="s">
        <v>8</v>
      </c>
      <c r="G1" t="s">
        <v>2</v>
      </c>
      <c r="H1" t="s">
        <v>1</v>
      </c>
      <c r="I1" t="s">
        <v>3</v>
      </c>
      <c r="J1" t="s">
        <v>9</v>
      </c>
    </row>
    <row r="2" spans="1:10" x14ac:dyDescent="0.3">
      <c r="J2" s="1"/>
    </row>
    <row r="3" spans="1:10" x14ac:dyDescent="0.3">
      <c r="J3" s="1"/>
    </row>
    <row r="4" spans="1:10" x14ac:dyDescent="0.3">
      <c r="B4">
        <v>1</v>
      </c>
      <c r="C4">
        <v>48</v>
      </c>
      <c r="D4">
        <v>40.5</v>
      </c>
      <c r="G4">
        <v>34</v>
      </c>
      <c r="H4">
        <v>18</v>
      </c>
      <c r="I4">
        <f>G4-H4</f>
        <v>16</v>
      </c>
      <c r="J4" s="1">
        <f>I4/C4</f>
        <v>0.33333333333333331</v>
      </c>
    </row>
    <row r="5" spans="1:10" x14ac:dyDescent="0.3">
      <c r="B5">
        <v>1</v>
      </c>
      <c r="C5">
        <v>47</v>
      </c>
      <c r="D5">
        <v>37</v>
      </c>
      <c r="G5">
        <v>36</v>
      </c>
      <c r="H5">
        <v>18</v>
      </c>
      <c r="I5">
        <f t="shared" ref="I5:I13" si="0">G5-H5</f>
        <v>18</v>
      </c>
      <c r="J5" s="1">
        <f t="shared" ref="J5:J13" si="1">I5/C5</f>
        <v>0.38297872340425532</v>
      </c>
    </row>
    <row r="6" spans="1:10" x14ac:dyDescent="0.3">
      <c r="B6">
        <v>2</v>
      </c>
      <c r="C6">
        <v>49</v>
      </c>
      <c r="D6">
        <v>46</v>
      </c>
      <c r="G6">
        <v>34.5</v>
      </c>
      <c r="H6">
        <v>18</v>
      </c>
      <c r="I6">
        <f t="shared" si="0"/>
        <v>16.5</v>
      </c>
      <c r="J6" s="1">
        <f t="shared" si="1"/>
        <v>0.33673469387755101</v>
      </c>
    </row>
    <row r="7" spans="1:10" x14ac:dyDescent="0.3">
      <c r="B7">
        <v>2</v>
      </c>
      <c r="C7">
        <v>47.5</v>
      </c>
      <c r="D7">
        <v>42</v>
      </c>
      <c r="G7">
        <v>34.5</v>
      </c>
      <c r="H7">
        <v>18</v>
      </c>
      <c r="I7">
        <f t="shared" si="0"/>
        <v>16.5</v>
      </c>
      <c r="J7" s="1">
        <f t="shared" si="1"/>
        <v>0.3473684210526316</v>
      </c>
    </row>
    <row r="8" spans="1:10" x14ac:dyDescent="0.3">
      <c r="B8">
        <v>3</v>
      </c>
      <c r="C8">
        <v>49</v>
      </c>
      <c r="D8">
        <v>48.5</v>
      </c>
      <c r="G8">
        <v>34</v>
      </c>
      <c r="H8">
        <v>18</v>
      </c>
      <c r="I8">
        <f t="shared" si="0"/>
        <v>16</v>
      </c>
      <c r="J8" s="1">
        <f t="shared" si="1"/>
        <v>0.32653061224489793</v>
      </c>
    </row>
    <row r="9" spans="1:10" x14ac:dyDescent="0.3">
      <c r="B9">
        <v>3</v>
      </c>
      <c r="C9">
        <v>50</v>
      </c>
      <c r="D9">
        <v>48</v>
      </c>
      <c r="G9">
        <v>35.5</v>
      </c>
      <c r="H9">
        <v>18.5</v>
      </c>
      <c r="I9">
        <f t="shared" si="0"/>
        <v>17</v>
      </c>
      <c r="J9" s="1">
        <f t="shared" si="1"/>
        <v>0.34</v>
      </c>
    </row>
    <row r="10" spans="1:10" x14ac:dyDescent="0.3">
      <c r="B10">
        <v>4</v>
      </c>
      <c r="C10">
        <v>50</v>
      </c>
      <c r="D10">
        <v>46.5</v>
      </c>
      <c r="G10">
        <v>35</v>
      </c>
      <c r="H10">
        <v>18.5</v>
      </c>
      <c r="I10">
        <f t="shared" si="0"/>
        <v>16.5</v>
      </c>
      <c r="J10" s="1">
        <f t="shared" si="1"/>
        <v>0.33</v>
      </c>
    </row>
    <row r="11" spans="1:10" x14ac:dyDescent="0.3">
      <c r="B11">
        <v>4</v>
      </c>
      <c r="C11">
        <v>47.5</v>
      </c>
      <c r="D11">
        <v>45.5</v>
      </c>
      <c r="G11">
        <v>34</v>
      </c>
      <c r="H11">
        <v>18.5</v>
      </c>
      <c r="I11">
        <f t="shared" si="0"/>
        <v>15.5</v>
      </c>
      <c r="J11" s="1">
        <f t="shared" si="1"/>
        <v>0.32631578947368423</v>
      </c>
    </row>
    <row r="12" spans="1:10" x14ac:dyDescent="0.3">
      <c r="B12">
        <v>5</v>
      </c>
      <c r="C12">
        <v>45</v>
      </c>
      <c r="D12">
        <v>42</v>
      </c>
      <c r="G12">
        <v>33</v>
      </c>
      <c r="H12">
        <v>18.5</v>
      </c>
      <c r="I12">
        <f t="shared" si="0"/>
        <v>14.5</v>
      </c>
      <c r="J12" s="1">
        <f t="shared" si="1"/>
        <v>0.32222222222222224</v>
      </c>
    </row>
    <row r="13" spans="1:10" x14ac:dyDescent="0.3">
      <c r="B13">
        <v>5</v>
      </c>
      <c r="C13">
        <v>47</v>
      </c>
      <c r="D13">
        <v>45</v>
      </c>
      <c r="G13">
        <v>34</v>
      </c>
      <c r="H13">
        <v>18.5</v>
      </c>
      <c r="I13">
        <f t="shared" si="0"/>
        <v>15.5</v>
      </c>
      <c r="J13" s="1">
        <f t="shared" si="1"/>
        <v>0.32978723404255317</v>
      </c>
    </row>
    <row r="14" spans="1:10" x14ac:dyDescent="0.3">
      <c r="B14" s="3" t="s">
        <v>7</v>
      </c>
      <c r="C14" s="25">
        <f>SUM(C4:C13)/10</f>
        <v>48</v>
      </c>
      <c r="D14" s="25">
        <f>SUM(D4:D13)/10</f>
        <v>44.1</v>
      </c>
      <c r="E14" s="25">
        <f>SUM(E4:E13)/10</f>
        <v>0</v>
      </c>
      <c r="F14" s="25"/>
      <c r="G14" s="25">
        <f>SUM(H4:H13)/10</f>
        <v>18.25</v>
      </c>
      <c r="H14" s="25">
        <f>SUM(H4:H13)/10</f>
        <v>18.25</v>
      </c>
      <c r="I14" s="24">
        <f>SUM(I4:I13)/10</f>
        <v>16.2</v>
      </c>
      <c r="J14" s="2">
        <f>SUM(J4:J13)/10</f>
        <v>0.3375271029651129</v>
      </c>
    </row>
    <row r="15" spans="1:10" x14ac:dyDescent="0.3">
      <c r="C15">
        <f>CONVERT(C14,"in","m")</f>
        <v>1.2192000000000001</v>
      </c>
    </row>
    <row r="17" spans="1:11" x14ac:dyDescent="0.3">
      <c r="A17" s="27"/>
      <c r="B17" s="27" t="s">
        <v>41</v>
      </c>
      <c r="C17" s="28" t="s">
        <v>40</v>
      </c>
      <c r="D17" s="5"/>
      <c r="E17" s="5"/>
    </row>
    <row r="18" spans="1:11" x14ac:dyDescent="0.3">
      <c r="A18" s="27" t="s">
        <v>17</v>
      </c>
      <c r="B18" s="27">
        <v>327</v>
      </c>
      <c r="C18" s="29">
        <v>15.16</v>
      </c>
      <c r="D18" s="5"/>
      <c r="E18" s="5"/>
    </row>
    <row r="19" spans="1:11" x14ac:dyDescent="0.3">
      <c r="A19" s="27" t="s">
        <v>18</v>
      </c>
      <c r="B19" s="27">
        <v>309</v>
      </c>
      <c r="C19" s="29">
        <v>13.54</v>
      </c>
      <c r="D19" s="5"/>
      <c r="E19" s="5"/>
    </row>
    <row r="20" spans="1:11" ht="15" thickBot="1" x14ac:dyDescent="0.35">
      <c r="A20" s="27" t="s">
        <v>39</v>
      </c>
      <c r="B20" s="27">
        <f>AVERAGE(B18:B19)</f>
        <v>318</v>
      </c>
      <c r="C20" s="30">
        <f>AVERAGE(C18:C19)</f>
        <v>14.35</v>
      </c>
      <c r="D20" s="5"/>
      <c r="E20" s="5"/>
    </row>
    <row r="21" spans="1:11" ht="29.4" thickBot="1" x14ac:dyDescent="0.35">
      <c r="C21" s="26" t="s">
        <v>14</v>
      </c>
      <c r="D21" s="22">
        <f>I14-((C18+C19)/2)</f>
        <v>1.8499999999999996</v>
      </c>
      <c r="E21" s="9" t="s">
        <v>25</v>
      </c>
      <c r="G21" t="s">
        <v>15</v>
      </c>
      <c r="H21" s="1">
        <f>C18/I14</f>
        <v>0.93580246913580256</v>
      </c>
      <c r="J21" t="s">
        <v>7</v>
      </c>
      <c r="K21" s="13">
        <f>AVERAGE(I4:I13)</f>
        <v>16.2</v>
      </c>
    </row>
    <row r="22" spans="1:11" ht="15" thickBot="1" x14ac:dyDescent="0.35">
      <c r="C22" s="10"/>
      <c r="D22" s="23">
        <f>CONVERT(D21,"in","mm")</f>
        <v>46.989999999999988</v>
      </c>
      <c r="E22" s="12" t="s">
        <v>26</v>
      </c>
      <c r="G22" t="s">
        <v>53</v>
      </c>
      <c r="H22" s="38">
        <f>(C20-I14)/I14</f>
        <v>-0.11419753086419751</v>
      </c>
      <c r="J22" t="s">
        <v>20</v>
      </c>
      <c r="K22" s="13">
        <f>STDEVA(I4:I13)</f>
        <v>0.94868329805051377</v>
      </c>
    </row>
    <row r="23" spans="1:11" ht="15" thickBot="1" x14ac:dyDescent="0.35">
      <c r="J23" t="s">
        <v>21</v>
      </c>
      <c r="K23" s="13">
        <f>VARA(I4:I13)</f>
        <v>0.89999999999999991</v>
      </c>
    </row>
    <row r="24" spans="1:11" x14ac:dyDescent="0.3">
      <c r="A24" s="15" t="s">
        <v>42</v>
      </c>
      <c r="B24" s="16" t="s">
        <v>23</v>
      </c>
      <c r="C24" s="17" t="s">
        <v>24</v>
      </c>
      <c r="D24" t="s">
        <v>47</v>
      </c>
    </row>
    <row r="25" spans="1:11" ht="15" thickBot="1" x14ac:dyDescent="0.35">
      <c r="A25" s="10" t="s">
        <v>19</v>
      </c>
      <c r="B25" s="18">
        <v>1.23</v>
      </c>
      <c r="C25" s="19">
        <f>CONVERT(B25,"m","in")</f>
        <v>48.425196850393704</v>
      </c>
      <c r="D25" s="35">
        <f>C14-C25</f>
        <v>-0.42519685039370358</v>
      </c>
    </row>
    <row r="26" spans="1:11" x14ac:dyDescent="0.3">
      <c r="A26" s="36" t="s">
        <v>50</v>
      </c>
      <c r="C26">
        <v>47.5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Summary</vt:lpstr>
      <vt:lpstr>1242015</vt:lpstr>
      <vt:lpstr>012816</vt:lpstr>
      <vt:lpstr>022416</vt:lpstr>
      <vt:lpstr>33116</vt:lpstr>
      <vt:lpstr>113016</vt:lpstr>
      <vt:lpstr>122216</vt:lpstr>
      <vt:lpstr>12017</vt:lpstr>
      <vt:lpstr>021017</vt:lpstr>
      <vt:lpstr>030217</vt:lpstr>
      <vt:lpstr>050117</vt:lpstr>
      <vt:lpstr>121417</vt:lpstr>
      <vt:lpstr>011118</vt:lpstr>
      <vt:lpstr>020118</vt:lpstr>
      <vt:lpstr>022118</vt:lpstr>
      <vt:lpstr>030818</vt:lpstr>
      <vt:lpstr>031918</vt:lpstr>
      <vt:lpstr>041318</vt:lpstr>
      <vt:lpstr>121118</vt:lpstr>
      <vt:lpstr>12319</vt:lpstr>
      <vt:lpstr>21519</vt:lpstr>
      <vt:lpstr>22519 </vt:lpstr>
      <vt:lpstr>032919</vt:lpstr>
      <vt:lpstr>01092020</vt:lpstr>
      <vt:lpstr>01302020 </vt:lpstr>
      <vt:lpstr>022720</vt:lpstr>
      <vt:lpstr>120420</vt:lpstr>
      <vt:lpstr>010721</vt:lpstr>
      <vt:lpstr>021921</vt:lpstr>
      <vt:lpstr>32321</vt:lpstr>
      <vt:lpstr>04042021</vt:lpstr>
      <vt:lpstr>Sheet2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Black</dc:creator>
  <cp:lastModifiedBy>Black, Tom -FS</cp:lastModifiedBy>
  <dcterms:created xsi:type="dcterms:W3CDTF">2015-12-07T17:38:58Z</dcterms:created>
  <dcterms:modified xsi:type="dcterms:W3CDTF">2021-11-19T00:13:01Z</dcterms:modified>
</cp:coreProperties>
</file>