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\Documents\School\Optimal_Estimation\project\Montgomery_SpaceDomainAwareness\"/>
    </mc:Choice>
  </mc:AlternateContent>
  <bookViews>
    <workbookView xWindow="0" yWindow="0" windowWidth="16380" windowHeight="8190" tabRatio="987"/>
  </bookViews>
  <sheets>
    <sheet name="general" sheetId="1" r:id="rId1"/>
    <sheet name="initialConditions" sheetId="2" r:id="rId2"/>
    <sheet name="truthStateIdx" sheetId="3" r:id="rId3"/>
    <sheet name="navStateIdx" sheetId="4" r:id="rId4"/>
    <sheet name="truthStateParams" sheetId="5" r:id="rId5"/>
    <sheet name="truthStateInitialUncertainty" sheetId="6" r:id="rId6"/>
    <sheet name="navStateParams" sheetId="7" r:id="rId7"/>
    <sheet name="navStateInitialUncertainty" sheetId="8" r:id="rId8"/>
    <sheet name="errorInjection" sheetId="9" r:id="rId9"/>
    <sheet name="Constants" sheetId="10" r:id="rId10"/>
  </sheets>
  <definedNames>
    <definedName name="days2hrs">Constants!$B$6</definedName>
    <definedName name="g2mps2">Constants!$B$5</definedName>
    <definedName name="hr2min">Constants!$B$2</definedName>
    <definedName name="hr2sec">Constants!$B$4</definedName>
    <definedName name="min2sec">Constants!$B$3</definedName>
    <definedName name="Na">general!$B$9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2" i="9"/>
  <c r="C2" i="4"/>
  <c r="C3" i="4"/>
  <c r="B4" i="4" s="1"/>
  <c r="C4" i="4" s="1"/>
  <c r="B3" i="4"/>
  <c r="D3" i="4"/>
  <c r="E2" i="4"/>
  <c r="D2" i="4"/>
  <c r="B17" i="3"/>
  <c r="C16" i="3"/>
  <c r="B16" i="3"/>
  <c r="D16" i="3" s="1"/>
  <c r="B11" i="1"/>
  <c r="E11" i="1" s="1"/>
  <c r="B14" i="3"/>
  <c r="B12" i="3"/>
  <c r="B10" i="3"/>
  <c r="B8" i="3"/>
  <c r="B2" i="3"/>
  <c r="D2" i="3" s="1"/>
  <c r="E10" i="1"/>
  <c r="B4" i="10"/>
  <c r="E4" i="7" s="1"/>
  <c r="E17" i="9"/>
  <c r="E16" i="9"/>
  <c r="E15" i="9"/>
  <c r="E14" i="9"/>
  <c r="E13" i="9"/>
  <c r="E12" i="9"/>
  <c r="E11" i="9"/>
  <c r="E10" i="9"/>
  <c r="E9" i="9"/>
  <c r="D19" i="8"/>
  <c r="C19" i="8"/>
  <c r="A19" i="8"/>
  <c r="D18" i="8"/>
  <c r="C18" i="8"/>
  <c r="A18" i="8"/>
  <c r="D17" i="8"/>
  <c r="C17" i="8"/>
  <c r="A17" i="8"/>
  <c r="D16" i="8"/>
  <c r="C16" i="8"/>
  <c r="A16" i="8"/>
  <c r="D15" i="8"/>
  <c r="C15" i="8"/>
  <c r="A15" i="8"/>
  <c r="D14" i="8"/>
  <c r="C14" i="8"/>
  <c r="A14" i="8"/>
  <c r="D13" i="8"/>
  <c r="C13" i="8"/>
  <c r="A13" i="8"/>
  <c r="D12" i="8"/>
  <c r="C12" i="8"/>
  <c r="A12" i="8"/>
  <c r="D11" i="8"/>
  <c r="C11" i="8"/>
  <c r="A11" i="8"/>
  <c r="D10" i="8"/>
  <c r="C10" i="8"/>
  <c r="B10" i="8"/>
  <c r="E10" i="8" s="1"/>
  <c r="A10" i="8"/>
  <c r="E9" i="8"/>
  <c r="D9" i="8"/>
  <c r="C9" i="8"/>
  <c r="B9" i="8"/>
  <c r="A9" i="8"/>
  <c r="D8" i="8"/>
  <c r="C8" i="8"/>
  <c r="B8" i="8"/>
  <c r="E8" i="8" s="1"/>
  <c r="A8" i="8"/>
  <c r="E7" i="8"/>
  <c r="D7" i="8"/>
  <c r="C7" i="8"/>
  <c r="B7" i="8"/>
  <c r="A7" i="8"/>
  <c r="D6" i="8"/>
  <c r="C6" i="8"/>
  <c r="B6" i="8"/>
  <c r="E6" i="8" s="1"/>
  <c r="A6" i="8"/>
  <c r="D5" i="8"/>
  <c r="C5" i="8"/>
  <c r="B5" i="8"/>
  <c r="E5" i="8" s="1"/>
  <c r="A5" i="8"/>
  <c r="D4" i="8"/>
  <c r="C4" i="8"/>
  <c r="B4" i="8"/>
  <c r="E4" i="8" s="1"/>
  <c r="A4" i="8"/>
  <c r="E3" i="8"/>
  <c r="D3" i="8"/>
  <c r="C3" i="8"/>
  <c r="B3" i="8"/>
  <c r="A3" i="8"/>
  <c r="D2" i="8"/>
  <c r="C2" i="8"/>
  <c r="B2" i="8"/>
  <c r="E2" i="8" s="1"/>
  <c r="A2" i="8"/>
  <c r="E14" i="7"/>
  <c r="D14" i="7"/>
  <c r="C14" i="7"/>
  <c r="B14" i="7"/>
  <c r="A14" i="7"/>
  <c r="D13" i="7"/>
  <c r="C13" i="7"/>
  <c r="B13" i="7"/>
  <c r="E13" i="7" s="1"/>
  <c r="A13" i="7"/>
  <c r="E12" i="7"/>
  <c r="D12" i="7"/>
  <c r="C12" i="7"/>
  <c r="B12" i="7"/>
  <c r="A12" i="7"/>
  <c r="D11" i="7"/>
  <c r="C11" i="7"/>
  <c r="B11" i="7"/>
  <c r="E11" i="7" s="1"/>
  <c r="A11" i="7"/>
  <c r="E10" i="7"/>
  <c r="D10" i="7"/>
  <c r="C10" i="7"/>
  <c r="B10" i="7"/>
  <c r="A10" i="7"/>
  <c r="D9" i="7"/>
  <c r="C9" i="7"/>
  <c r="B9" i="7"/>
  <c r="E9" i="7" s="1"/>
  <c r="A9" i="7"/>
  <c r="E8" i="7"/>
  <c r="D8" i="7"/>
  <c r="C8" i="7"/>
  <c r="B8" i="7"/>
  <c r="A8" i="7"/>
  <c r="D7" i="7"/>
  <c r="C7" i="7"/>
  <c r="B7" i="7"/>
  <c r="E7" i="7" s="1"/>
  <c r="A7" i="7"/>
  <c r="E6" i="7"/>
  <c r="D6" i="7"/>
  <c r="C6" i="7"/>
  <c r="B6" i="7"/>
  <c r="A6" i="7"/>
  <c r="D5" i="7"/>
  <c r="C5" i="7"/>
  <c r="B5" i="7"/>
  <c r="E5" i="7" s="1"/>
  <c r="A5" i="7"/>
  <c r="D4" i="7"/>
  <c r="C4" i="7"/>
  <c r="B4" i="7"/>
  <c r="A4" i="7"/>
  <c r="D3" i="7"/>
  <c r="C3" i="7"/>
  <c r="B3" i="7"/>
  <c r="E3" i="7" s="1"/>
  <c r="A3" i="7"/>
  <c r="D2" i="7"/>
  <c r="C2" i="7"/>
  <c r="A2" i="7"/>
  <c r="B19" i="6"/>
  <c r="B19" i="8" s="1"/>
  <c r="E19" i="8" s="1"/>
  <c r="B18" i="6"/>
  <c r="B18" i="8" s="1"/>
  <c r="E18" i="8" s="1"/>
  <c r="B17" i="6"/>
  <c r="E17" i="6" s="1"/>
  <c r="B16" i="6"/>
  <c r="E16" i="6" s="1"/>
  <c r="B15" i="6"/>
  <c r="B15" i="8" s="1"/>
  <c r="E15" i="8" s="1"/>
  <c r="B14" i="6"/>
  <c r="E14" i="6" s="1"/>
  <c r="B13" i="6"/>
  <c r="B13" i="8" s="1"/>
  <c r="E13" i="8" s="1"/>
  <c r="B12" i="6"/>
  <c r="B12" i="8" s="1"/>
  <c r="E12" i="8" s="1"/>
  <c r="B11" i="6"/>
  <c r="E11" i="6" s="1"/>
  <c r="E10" i="6"/>
  <c r="E9" i="6"/>
  <c r="E8" i="6"/>
  <c r="E7" i="6"/>
  <c r="E6" i="6"/>
  <c r="E5" i="6"/>
  <c r="E4" i="6"/>
  <c r="E3" i="6"/>
  <c r="E2" i="6"/>
  <c r="E14" i="5"/>
  <c r="E13" i="5"/>
  <c r="E12" i="5"/>
  <c r="E11" i="5"/>
  <c r="E10" i="5"/>
  <c r="E9" i="5"/>
  <c r="E8" i="5"/>
  <c r="E7" i="5"/>
  <c r="E6" i="5"/>
  <c r="E5" i="5"/>
  <c r="E2" i="5"/>
  <c r="B2" i="5"/>
  <c r="B2" i="7" s="1"/>
  <c r="E2" i="7" s="1"/>
  <c r="E59" i="2"/>
  <c r="E58" i="2"/>
  <c r="E57" i="2"/>
  <c r="E56" i="2"/>
  <c r="E55" i="2"/>
  <c r="E54" i="2"/>
  <c r="E53" i="2"/>
  <c r="E52" i="2"/>
  <c r="E51" i="2"/>
  <c r="E50" i="2"/>
  <c r="E43" i="2"/>
  <c r="E42" i="2"/>
  <c r="E41" i="2"/>
  <c r="E40" i="2"/>
  <c r="E39" i="2"/>
  <c r="E38" i="2"/>
  <c r="E49" i="2"/>
  <c r="E37" i="2"/>
  <c r="E36" i="2"/>
  <c r="E35" i="2"/>
  <c r="E34" i="2"/>
  <c r="E33" i="2"/>
  <c r="E32" i="2"/>
  <c r="E48" i="2"/>
  <c r="E31" i="2"/>
  <c r="E30" i="2"/>
  <c r="E29" i="2"/>
  <c r="E28" i="2"/>
  <c r="E27" i="2"/>
  <c r="E26" i="2"/>
  <c r="E47" i="2"/>
  <c r="E25" i="2"/>
  <c r="E24" i="2"/>
  <c r="E23" i="2"/>
  <c r="E22" i="2"/>
  <c r="E21" i="2"/>
  <c r="E20" i="2"/>
  <c r="E46" i="2"/>
  <c r="E19" i="2"/>
  <c r="E18" i="2"/>
  <c r="E17" i="2"/>
  <c r="E16" i="2"/>
  <c r="E15" i="2"/>
  <c r="E14" i="2"/>
  <c r="E45" i="2"/>
  <c r="E13" i="2"/>
  <c r="E12" i="2"/>
  <c r="E11" i="2"/>
  <c r="E10" i="2"/>
  <c r="E9" i="2"/>
  <c r="E8" i="2"/>
  <c r="E44" i="2"/>
  <c r="E7" i="2"/>
  <c r="E6" i="2"/>
  <c r="E5" i="2"/>
  <c r="E4" i="2"/>
  <c r="E3" i="2"/>
  <c r="E2" i="2"/>
  <c r="E9" i="1"/>
  <c r="E8" i="1"/>
  <c r="E7" i="1"/>
  <c r="E6" i="1"/>
  <c r="E5" i="1"/>
  <c r="E4" i="1"/>
  <c r="E3" i="1"/>
  <c r="E2" i="1"/>
  <c r="E3" i="4" l="1"/>
  <c r="B5" i="4"/>
  <c r="E4" i="4"/>
  <c r="D4" i="4"/>
  <c r="C2" i="3"/>
  <c r="E16" i="3"/>
  <c r="E3" i="5"/>
  <c r="E12" i="6"/>
  <c r="E15" i="6"/>
  <c r="E18" i="6"/>
  <c r="B11" i="8"/>
  <c r="E11" i="8" s="1"/>
  <c r="B17" i="8"/>
  <c r="E17" i="8" s="1"/>
  <c r="E4" i="5"/>
  <c r="B16" i="8"/>
  <c r="E16" i="8" s="1"/>
  <c r="E13" i="6"/>
  <c r="E19" i="6"/>
  <c r="B14" i="8"/>
  <c r="E14" i="8" s="1"/>
  <c r="C5" i="4" l="1"/>
  <c r="E5" i="4" s="1"/>
  <c r="D5" i="4"/>
  <c r="E2" i="3"/>
  <c r="B3" i="3"/>
  <c r="D3" i="3" l="1"/>
  <c r="C3" i="3"/>
  <c r="E3" i="3" l="1"/>
  <c r="B4" i="3"/>
  <c r="C4" i="3" l="1"/>
  <c r="D4" i="3"/>
  <c r="E4" i="3" l="1"/>
  <c r="B5" i="3"/>
  <c r="D5" i="3" l="1"/>
  <c r="C5" i="3"/>
  <c r="B6" i="3" l="1"/>
  <c r="E5" i="3"/>
  <c r="D8" i="3"/>
  <c r="C8" i="3"/>
  <c r="C6" i="3" l="1"/>
  <c r="D6" i="3"/>
  <c r="E8" i="3"/>
  <c r="B9" i="3"/>
  <c r="B7" i="3" l="1"/>
  <c r="E6" i="3"/>
  <c r="C9" i="3"/>
  <c r="D9" i="3"/>
  <c r="C7" i="3" l="1"/>
  <c r="E7" i="3" s="1"/>
  <c r="D7" i="3"/>
  <c r="E9" i="3"/>
  <c r="C10" i="3" l="1"/>
  <c r="D10" i="3"/>
  <c r="D17" i="3" l="1"/>
  <c r="C17" i="3"/>
  <c r="E10" i="3"/>
  <c r="B11" i="3"/>
  <c r="B18" i="3" l="1"/>
  <c r="E17" i="3"/>
  <c r="D11" i="3"/>
  <c r="C11" i="3"/>
  <c r="C18" i="3" l="1"/>
  <c r="D18" i="3"/>
  <c r="E11" i="3"/>
  <c r="B19" i="3" l="1"/>
  <c r="E18" i="3"/>
  <c r="D12" i="3"/>
  <c r="C12" i="3"/>
  <c r="C19" i="3" l="1"/>
  <c r="E19" i="3" s="1"/>
  <c r="D19" i="3"/>
  <c r="B13" i="3"/>
  <c r="E12" i="3"/>
  <c r="C13" i="3" l="1"/>
  <c r="D13" i="3"/>
  <c r="E13" i="3" l="1"/>
  <c r="D14" i="3" l="1"/>
  <c r="C14" i="3"/>
  <c r="B15" i="3" s="1"/>
  <c r="C15" i="3" l="1"/>
  <c r="E15" i="3" s="1"/>
  <c r="D15" i="3"/>
  <c r="E14" i="3"/>
</calcChain>
</file>

<file path=xl/sharedStrings.xml><?xml version="1.0" encoding="utf-8"?>
<sst xmlns="http://schemas.openxmlformats.org/spreadsheetml/2006/main" count="405" uniqueCount="200">
  <si>
    <t>Name</t>
  </si>
  <si>
    <t>Value</t>
  </si>
  <si>
    <t>Units</t>
  </si>
  <si>
    <t>Description</t>
  </si>
  <si>
    <t>MatlabValues</t>
  </si>
  <si>
    <t>dt_kalmanUpdate</t>
  </si>
  <si>
    <t>sec</t>
  </si>
  <si>
    <t>kalman update sampling time</t>
  </si>
  <si>
    <t>dt</t>
  </si>
  <si>
    <t>Simulation timestep</t>
  </si>
  <si>
    <t>tsim</t>
  </si>
  <si>
    <t>Simulation time</t>
  </si>
  <si>
    <t>checkErrDefConstEnable</t>
  </si>
  <si>
    <t>unitless</t>
  </si>
  <si>
    <t>flag to enable checking of error definition consistency</t>
  </si>
  <si>
    <t>errorPropTestEnable</t>
  </si>
  <si>
    <t>flag to enable error propagation test</t>
  </si>
  <si>
    <t>measLinerizationCheckEnable</t>
  </si>
  <si>
    <t>flag to enable checking of measurement linearization</t>
  </si>
  <si>
    <t>correlated_kalman_update_enable</t>
  </si>
  <si>
    <t>flag to enable correlated Kalman update</t>
  </si>
  <si>
    <t>n_assets</t>
  </si>
  <si>
    <t>number of chaser assets</t>
  </si>
  <si>
    <t>p1x</t>
  </si>
  <si>
    <t>km</t>
  </si>
  <si>
    <t>x component of initial position of asset 1 (inertial)</t>
  </si>
  <si>
    <t>p1y</t>
  </si>
  <si>
    <t>y component of initial position of asset 1 (inertial)</t>
  </si>
  <si>
    <t>p1z</t>
  </si>
  <si>
    <t>z component of initial position of asset 1 (inertial)</t>
  </si>
  <si>
    <t>v1x</t>
  </si>
  <si>
    <t>km/s</t>
  </si>
  <si>
    <t>x component of initial velocity of asset 1 (inertial)</t>
  </si>
  <si>
    <t>v1y</t>
  </si>
  <si>
    <t>y component of initial velocity of asset 1 (inertial)</t>
  </si>
  <si>
    <t>v1z</t>
  </si>
  <si>
    <t>z component of initial velocity of asset 1 (inertial)</t>
  </si>
  <si>
    <t>b1</t>
  </si>
  <si>
    <t>s</t>
  </si>
  <si>
    <t>clock bias for asset 1</t>
  </si>
  <si>
    <t>p2x</t>
  </si>
  <si>
    <t>p2y</t>
  </si>
  <si>
    <t>p2z</t>
  </si>
  <si>
    <t>v2x</t>
  </si>
  <si>
    <t>v2y</t>
  </si>
  <si>
    <t>v2z</t>
  </si>
  <si>
    <t>b2</t>
  </si>
  <si>
    <t>p3x</t>
  </si>
  <si>
    <t>p3y</t>
  </si>
  <si>
    <t>p3z</t>
  </si>
  <si>
    <t>v3x</t>
  </si>
  <si>
    <t>v3y</t>
  </si>
  <si>
    <t>v3z</t>
  </si>
  <si>
    <t>b3</t>
  </si>
  <si>
    <t>p4x</t>
  </si>
  <si>
    <t>p4y</t>
  </si>
  <si>
    <t>p4z</t>
  </si>
  <si>
    <t>v4x</t>
  </si>
  <si>
    <t>v4y</t>
  </si>
  <si>
    <t>v4z</t>
  </si>
  <si>
    <t>b4</t>
  </si>
  <si>
    <t>p5x</t>
  </si>
  <si>
    <t>p5y</t>
  </si>
  <si>
    <t>p5z</t>
  </si>
  <si>
    <t>v5x</t>
  </si>
  <si>
    <t>v5y</t>
  </si>
  <si>
    <t>v5z</t>
  </si>
  <si>
    <t>b5</t>
  </si>
  <si>
    <t>p6x</t>
  </si>
  <si>
    <t>p6y</t>
  </si>
  <si>
    <t>p6z</t>
  </si>
  <si>
    <t>v6x</t>
  </si>
  <si>
    <t>v6y</t>
  </si>
  <si>
    <t>v6z</t>
  </si>
  <si>
    <t>b6</t>
  </si>
  <si>
    <t>p7x</t>
  </si>
  <si>
    <t>p7y</t>
  </si>
  <si>
    <t>p7z</t>
  </si>
  <si>
    <t>v7x</t>
  </si>
  <si>
    <t>v7y</t>
  </si>
  <si>
    <t>v7z</t>
  </si>
  <si>
    <t>b7</t>
  </si>
  <si>
    <t>ptx</t>
  </si>
  <si>
    <t>x component of initial position of target (inertial)</t>
  </si>
  <si>
    <t>pty</t>
  </si>
  <si>
    <t>y component of initial position of target (inertial)</t>
  </si>
  <si>
    <t>ptz</t>
  </si>
  <si>
    <t>z component of initial position of target (inertial)</t>
  </si>
  <si>
    <t>vtx</t>
  </si>
  <si>
    <t>x component of initial velocity of target (inertial)</t>
  </si>
  <si>
    <t>vty</t>
  </si>
  <si>
    <t>y component of initial velocity of target (inertial)</t>
  </si>
  <si>
    <t>vtz</t>
  </si>
  <si>
    <t>z component of initial velocity of target (inertial)</t>
  </si>
  <si>
    <t>ax</t>
  </si>
  <si>
    <t>m/s^2</t>
  </si>
  <si>
    <t>x component of atmospheric acceleration</t>
  </si>
  <si>
    <t>ay</t>
  </si>
  <si>
    <t>y component of atmospheric acceleration</t>
  </si>
  <si>
    <t>az</t>
  </si>
  <si>
    <t>z component of atmospheric acceleration</t>
  </si>
  <si>
    <t>State</t>
  </si>
  <si>
    <t>start_idx</t>
  </si>
  <si>
    <t>end_idx</t>
  </si>
  <si>
    <t>error_start_idx</t>
  </si>
  <si>
    <t>error_end_idx</t>
  </si>
  <si>
    <t>posA1</t>
  </si>
  <si>
    <t>velA1</t>
  </si>
  <si>
    <t>posA2</t>
  </si>
  <si>
    <t>velA2</t>
  </si>
  <si>
    <t>posA3</t>
  </si>
  <si>
    <t>velA3</t>
  </si>
  <si>
    <t>posA4</t>
  </si>
  <si>
    <t>velA4</t>
  </si>
  <si>
    <t>posA5</t>
  </si>
  <si>
    <t>velA5</t>
  </si>
  <si>
    <t>posA6</t>
  </si>
  <si>
    <t>velA6</t>
  </si>
  <si>
    <t>posA7</t>
  </si>
  <si>
    <t>velA7</t>
  </si>
  <si>
    <t>posT</t>
  </si>
  <si>
    <t>velT</t>
  </si>
  <si>
    <t>accD</t>
  </si>
  <si>
    <t>pt</t>
  </si>
  <si>
    <t>vt</t>
  </si>
  <si>
    <t>Q_grav</t>
  </si>
  <si>
    <t>m^2/s^3</t>
  </si>
  <si>
    <t>3-sigma non-gravitational process noise</t>
  </si>
  <si>
    <t>sig_gyro_ss</t>
  </si>
  <si>
    <t>deg/hr</t>
  </si>
  <si>
    <t>3-sigma steady-state gyro bias</t>
  </si>
  <si>
    <t>arw</t>
  </si>
  <si>
    <t>deg/sqrt(hr)</t>
  </si>
  <si>
    <t>3-sigma angular random walk</t>
  </si>
  <si>
    <t>sig_st_ss</t>
  </si>
  <si>
    <t>arcsec/axis</t>
  </si>
  <si>
    <t>3-sigma steady-state star camera misalignment</t>
  </si>
  <si>
    <t>sig_c_ss</t>
  </si>
  <si>
    <t>3-sigma steady-state terrain camera misalignment</t>
  </si>
  <si>
    <t>sig_meas_stx</t>
  </si>
  <si>
    <t>arcsec</t>
  </si>
  <si>
    <t>3-sigma star camera measurement uncertainty</t>
  </si>
  <si>
    <t>sig_meas_sty</t>
  </si>
  <si>
    <t>sig_meas_stz</t>
  </si>
  <si>
    <t>sig_cu</t>
  </si>
  <si>
    <t>pixels</t>
  </si>
  <si>
    <t>3-sigma u component of pixel noise</t>
  </si>
  <si>
    <t>sig_cv</t>
  </si>
  <si>
    <t>3-sigma v component of pixel noise</t>
  </si>
  <si>
    <t>sig_idpos</t>
  </si>
  <si>
    <t>m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</si>
  <si>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</si>
  <si>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</si>
  <si>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</si>
  <si>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</si>
  <si>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</si>
  <si>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</si>
  <si>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</si>
  <si>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</si>
  <si>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</si>
  <si>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</si>
  <si>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</si>
  <si>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</si>
  <si>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</si>
  <si>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</si>
  <si>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sig_ax</t>
  </si>
  <si>
    <t>rad</t>
  </si>
  <si>
    <t>3-sigma initial satellite orientation uncertainty</t>
  </si>
  <si>
    <t>sig_ay</t>
  </si>
  <si>
    <t>sig_az</t>
  </si>
  <si>
    <t>sig_thstx</t>
  </si>
  <si>
    <t>3-sigma initial star camera misalignment uncertainty</t>
  </si>
  <si>
    <t>sig_thsty</t>
  </si>
  <si>
    <t>sig_thstz</t>
  </si>
  <si>
    <t>sig_thcx</t>
  </si>
  <si>
    <t>3-sigma initial terrain camera misalignment uncertainty</t>
  </si>
  <si>
    <t>sig_thcy</t>
  </si>
  <si>
    <t>sig_thcz</t>
  </si>
  <si>
    <t>sig_gyrox</t>
  </si>
  <si>
    <t>3-sigma initial gyro bias uncertainty</t>
  </si>
  <si>
    <t>sig_gyroy</t>
  </si>
  <si>
    <t>sig_gyroz</t>
  </si>
  <si>
    <t>hrs2min</t>
  </si>
  <si>
    <t>min2sec</t>
  </si>
  <si>
    <t>hrs2sec</t>
  </si>
  <si>
    <t>g2mps2</t>
  </si>
  <si>
    <t>days2hrs</t>
  </si>
  <si>
    <t>muEarth</t>
  </si>
  <si>
    <t>c</t>
  </si>
  <si>
    <t>clock bias for asset 2</t>
  </si>
  <si>
    <t>clock bias for asset 3</t>
  </si>
  <si>
    <t>clock bias for asset 4</t>
  </si>
  <si>
    <t>clock bias for asset 5</t>
  </si>
  <si>
    <t>clock bias for asset 6</t>
  </si>
  <si>
    <t>clock bias for asset 7</t>
  </si>
  <si>
    <t>n_chaser</t>
  </si>
  <si>
    <t>number of components in the chaser state</t>
  </si>
  <si>
    <t>n_design</t>
  </si>
  <si>
    <t>number of components in the design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</si>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</sst>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00000E+00"/>
    <numFmt numFmtId="166" formatCode="0.0000000"/>
    <numFmt numFmtId="167" formatCode="0.000000"/>
    <numFmt numFmtId="168" formatCode="0.0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1" xfId="0" applyFont="1" applyBorder="1"/>
    <xf numFmtId="164" fontId="1" fillId="0" borderId="2" xfId="0" applyNumberFormat="1" applyFont="1" applyBorder="1"/>
    <xf numFmtId="0" fontId="1" fillId="0" borderId="2" xfId="0" applyFont="1" applyBorder="1"/>
    <xf numFmtId="165" fontId="1" fillId="0" borderId="3" xfId="0" applyNumberFormat="1" applyFont="1" applyBorder="1"/>
    <xf numFmtId="0" fontId="0" fillId="0" borderId="1" xfId="0" applyFont="1" applyBorder="1"/>
    <xf numFmtId="0" fontId="0" fillId="0" borderId="2" xfId="0" applyFont="1" applyBorder="1"/>
    <xf numFmtId="165" fontId="0" fillId="0" borderId="3" xfId="0" applyNumberFormat="1" applyBorder="1"/>
    <xf numFmtId="0" fontId="0" fillId="0" borderId="4" xfId="0" applyFont="1" applyBorder="1"/>
    <xf numFmtId="0" fontId="0" fillId="0" borderId="0" xfId="0" applyFont="1" applyBorder="1"/>
    <xf numFmtId="165" fontId="0" fillId="0" borderId="5" xfId="0" applyNumberFormat="1" applyBorder="1"/>
    <xf numFmtId="0" fontId="0" fillId="0" borderId="6" xfId="0" applyFont="1" applyBorder="1"/>
    <xf numFmtId="0" fontId="0" fillId="0" borderId="7" xfId="0" applyFont="1" applyBorder="1"/>
    <xf numFmtId="165" fontId="0" fillId="0" borderId="8" xfId="0" applyNumberFormat="1" applyBorder="1"/>
    <xf numFmtId="0" fontId="0" fillId="0" borderId="0" xfId="0" applyBorder="1"/>
    <xf numFmtId="0" fontId="1" fillId="0" borderId="10" xfId="0" applyFont="1" applyBorder="1"/>
    <xf numFmtId="166" fontId="1" fillId="0" borderId="11" xfId="0" applyNumberFormat="1" applyFont="1" applyBorder="1"/>
    <xf numFmtId="0" fontId="1" fillId="0" borderId="11" xfId="0" applyFont="1" applyBorder="1"/>
    <xf numFmtId="165" fontId="1" fillId="0" borderId="12" xfId="0" applyNumberFormat="1" applyFont="1" applyBorder="1"/>
    <xf numFmtId="11" fontId="0" fillId="0" borderId="0" xfId="0" applyNumberFormat="1" applyBorder="1"/>
    <xf numFmtId="167" fontId="0" fillId="0" borderId="0" xfId="0" applyNumberFormat="1" applyBorder="1"/>
    <xf numFmtId="165" fontId="0" fillId="0" borderId="0" xfId="0" applyNumberFormat="1"/>
    <xf numFmtId="167" fontId="0" fillId="0" borderId="7" xfId="0" applyNumberFormat="1" applyBorder="1"/>
    <xf numFmtId="166" fontId="0" fillId="0" borderId="2" xfId="0" applyNumberFormat="1" applyBorder="1"/>
    <xf numFmtId="166" fontId="0" fillId="0" borderId="7" xfId="0" applyNumberFormat="1" applyBorder="1"/>
    <xf numFmtId="166" fontId="0" fillId="0" borderId="0" xfId="0" applyNumberFormat="1"/>
    <xf numFmtId="11" fontId="0" fillId="0" borderId="7" xfId="0" applyNumberFormat="1" applyFont="1" applyBorder="1"/>
    <xf numFmtId="165" fontId="0" fillId="0" borderId="0" xfId="0" applyNumberForma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0" fontId="1" fillId="0" borderId="0" xfId="0" applyFont="1"/>
    <xf numFmtId="168" fontId="0" fillId="0" borderId="0" xfId="0" applyNumberFormat="1" applyFont="1" applyAlignment="1">
      <alignment wrapText="1"/>
    </xf>
    <xf numFmtId="0" fontId="1" fillId="0" borderId="10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66" fontId="0" fillId="0" borderId="7" xfId="0" applyNumberFormat="1" applyFont="1" applyBorder="1" applyAlignment="1">
      <alignment horizontal="center" vertical="center"/>
    </xf>
    <xf numFmtId="165" fontId="0" fillId="0" borderId="8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5" fontId="2" fillId="0" borderId="5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65" fontId="2" fillId="0" borderId="8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Border="1"/>
    <xf numFmtId="164" fontId="3" fillId="0" borderId="0" xfId="0" applyNumberFormat="1" applyFont="1" applyBorder="1"/>
    <xf numFmtId="165" fontId="3" fillId="0" borderId="5" xfId="0" applyNumberFormat="1" applyFont="1" applyBorder="1"/>
    <xf numFmtId="0" fontId="3" fillId="0" borderId="2" xfId="0" applyFont="1" applyBorder="1"/>
    <xf numFmtId="164" fontId="3" fillId="0" borderId="2" xfId="0" applyNumberFormat="1" applyFont="1" applyBorder="1"/>
    <xf numFmtId="165" fontId="3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Normal="100" workbookViewId="0">
      <selection activeCell="D17" sqref="D17"/>
    </sheetView>
  </sheetViews>
  <sheetFormatPr defaultRowHeight="15" x14ac:dyDescent="0.25"/>
  <cols>
    <col min="1" max="1" width="41.5703125" style="37"/>
    <col min="2" max="2" width="13.42578125" style="37"/>
    <col min="3" max="3" width="17.28515625" style="37"/>
    <col min="4" max="4" width="79.5703125" style="37"/>
    <col min="5" max="5" width="16.42578125" style="37"/>
    <col min="6" max="6" width="25.85546875" style="37"/>
    <col min="7" max="1025" width="8.5703125" style="37"/>
    <col min="1026" max="16384" width="9.140625" style="37"/>
  </cols>
  <sheetData>
    <row r="1" spans="1:5" x14ac:dyDescent="0.25">
      <c r="A1" s="62" t="s">
        <v>0</v>
      </c>
      <c r="B1" s="63" t="s">
        <v>1</v>
      </c>
      <c r="C1" s="64" t="s">
        <v>2</v>
      </c>
      <c r="D1" s="64" t="s">
        <v>3</v>
      </c>
      <c r="E1" s="65" t="s">
        <v>4</v>
      </c>
    </row>
    <row r="2" spans="1:5" x14ac:dyDescent="0.25">
      <c r="A2" s="66" t="s">
        <v>5</v>
      </c>
      <c r="B2" s="67">
        <v>2</v>
      </c>
      <c r="C2" s="56" t="s">
        <v>6</v>
      </c>
      <c r="D2" s="56" t="s">
        <v>7</v>
      </c>
      <c r="E2" s="68">
        <f t="shared" ref="E2:E11" si="0">B2</f>
        <v>2</v>
      </c>
    </row>
    <row r="3" spans="1:5" x14ac:dyDescent="0.25">
      <c r="A3" s="69" t="s">
        <v>8</v>
      </c>
      <c r="B3" s="70">
        <v>0.25</v>
      </c>
      <c r="C3" s="41" t="s">
        <v>6</v>
      </c>
      <c r="D3" s="41" t="s">
        <v>9</v>
      </c>
      <c r="E3" s="71">
        <f t="shared" si="0"/>
        <v>0.25</v>
      </c>
    </row>
    <row r="4" spans="1:5" x14ac:dyDescent="0.25">
      <c r="A4" s="69" t="s">
        <v>10</v>
      </c>
      <c r="B4" s="70">
        <v>1000</v>
      </c>
      <c r="C4" s="41" t="s">
        <v>6</v>
      </c>
      <c r="D4" s="41" t="s">
        <v>11</v>
      </c>
      <c r="E4" s="71">
        <f t="shared" si="0"/>
        <v>1000</v>
      </c>
    </row>
    <row r="5" spans="1:5" x14ac:dyDescent="0.25">
      <c r="A5" s="69" t="s">
        <v>12</v>
      </c>
      <c r="B5" s="72">
        <v>1</v>
      </c>
      <c r="C5" s="41" t="s">
        <v>13</v>
      </c>
      <c r="D5" s="41" t="s">
        <v>14</v>
      </c>
      <c r="E5" s="71">
        <f t="shared" si="0"/>
        <v>1</v>
      </c>
    </row>
    <row r="6" spans="1:5" x14ac:dyDescent="0.25">
      <c r="A6" s="69" t="s">
        <v>15</v>
      </c>
      <c r="B6" s="72">
        <v>0</v>
      </c>
      <c r="C6" s="41" t="s">
        <v>13</v>
      </c>
      <c r="D6" s="41" t="s">
        <v>16</v>
      </c>
      <c r="E6" s="71">
        <f t="shared" si="0"/>
        <v>0</v>
      </c>
    </row>
    <row r="7" spans="1:5" x14ac:dyDescent="0.25">
      <c r="A7" s="69" t="s">
        <v>17</v>
      </c>
      <c r="B7" s="72">
        <v>0</v>
      </c>
      <c r="C7" s="41" t="s">
        <v>13</v>
      </c>
      <c r="D7" s="41" t="s">
        <v>18</v>
      </c>
      <c r="E7" s="71">
        <f t="shared" si="0"/>
        <v>0</v>
      </c>
    </row>
    <row r="8" spans="1:5" x14ac:dyDescent="0.25">
      <c r="A8" s="73" t="s">
        <v>19</v>
      </c>
      <c r="B8" s="74">
        <v>0</v>
      </c>
      <c r="C8" s="43" t="s">
        <v>13</v>
      </c>
      <c r="D8" s="43" t="s">
        <v>20</v>
      </c>
      <c r="E8" s="75">
        <f t="shared" si="0"/>
        <v>0</v>
      </c>
    </row>
    <row r="9" spans="1:5" x14ac:dyDescent="0.25">
      <c r="A9" s="76" t="s">
        <v>21</v>
      </c>
      <c r="B9" s="76">
        <v>3</v>
      </c>
      <c r="C9" s="76" t="s">
        <v>13</v>
      </c>
      <c r="D9" s="76" t="s">
        <v>22</v>
      </c>
      <c r="E9" s="77">
        <f t="shared" si="0"/>
        <v>3</v>
      </c>
    </row>
    <row r="10" spans="1:5" x14ac:dyDescent="0.25">
      <c r="A10" s="46" t="s">
        <v>195</v>
      </c>
      <c r="B10" s="78">
        <v>6</v>
      </c>
      <c r="C10" s="46" t="s">
        <v>13</v>
      </c>
      <c r="D10" s="46" t="s">
        <v>196</v>
      </c>
      <c r="E10" s="58">
        <f t="shared" si="0"/>
        <v>6</v>
      </c>
    </row>
    <row r="11" spans="1:5" x14ac:dyDescent="0.25">
      <c r="A11" s="59" t="s">
        <v>197</v>
      </c>
      <c r="B11" s="59">
        <f>9+Na</f>
        <v>12</v>
      </c>
      <c r="C11" s="59" t="s">
        <v>13</v>
      </c>
      <c r="D11" s="59" t="s">
        <v>198</v>
      </c>
      <c r="E11" s="60">
        <f t="shared" si="0"/>
        <v>12</v>
      </c>
    </row>
    <row r="12" spans="1:5" x14ac:dyDescent="0.25">
      <c r="C12" s="76"/>
      <c r="D12" s="76"/>
      <c r="E12" s="76"/>
    </row>
  </sheetData>
  <pageMargins left="0.7" right="0.7" top="0.75" bottom="0.75" header="0.51180555555555496" footer="0.51180555555555496"/>
  <pageSetup firstPageNumber="0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Normal="100" workbookViewId="0">
      <selection activeCell="B23" sqref="B23"/>
    </sheetView>
  </sheetViews>
  <sheetFormatPr defaultRowHeight="15" x14ac:dyDescent="0.25"/>
  <cols>
    <col min="1" max="1" width="10.5703125"/>
    <col min="2" max="2" width="14.85546875"/>
    <col min="3" max="1025" width="8.5703125"/>
  </cols>
  <sheetData>
    <row r="1" spans="1:2" x14ac:dyDescent="0.25">
      <c r="A1" s="31" t="s">
        <v>0</v>
      </c>
      <c r="B1" s="31" t="s">
        <v>1</v>
      </c>
    </row>
    <row r="2" spans="1:2" x14ac:dyDescent="0.25">
      <c r="A2" t="s">
        <v>182</v>
      </c>
      <c r="B2">
        <v>60</v>
      </c>
    </row>
    <row r="3" spans="1:2" x14ac:dyDescent="0.25">
      <c r="A3" t="s">
        <v>183</v>
      </c>
      <c r="B3">
        <v>60</v>
      </c>
    </row>
    <row r="4" spans="1:2" x14ac:dyDescent="0.25">
      <c r="A4" t="s">
        <v>184</v>
      </c>
      <c r="B4">
        <f>hr2min*min2sec</f>
        <v>3600</v>
      </c>
    </row>
    <row r="5" spans="1:2" x14ac:dyDescent="0.25">
      <c r="A5" t="s">
        <v>185</v>
      </c>
      <c r="B5">
        <v>9.81</v>
      </c>
    </row>
    <row r="6" spans="1:2" x14ac:dyDescent="0.25">
      <c r="A6" t="s">
        <v>186</v>
      </c>
      <c r="B6">
        <v>24</v>
      </c>
    </row>
    <row r="7" spans="1:2" x14ac:dyDescent="0.25">
      <c r="A7" t="s">
        <v>187</v>
      </c>
      <c r="B7" s="32">
        <v>398600.44179999997</v>
      </c>
    </row>
    <row r="8" spans="1:2" x14ac:dyDescent="0.25">
      <c r="A8" t="s">
        <v>188</v>
      </c>
      <c r="B8">
        <v>299792.45799999998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zoomScaleNormal="100" workbookViewId="0">
      <selection activeCell="B44" sqref="B44"/>
    </sheetView>
  </sheetViews>
  <sheetFormatPr defaultRowHeight="15" x14ac:dyDescent="0.25"/>
  <cols>
    <col min="1" max="1" width="8.5703125" style="37"/>
    <col min="2" max="2" width="13.85546875" style="37"/>
    <col min="3" max="3" width="8.5703125" style="37"/>
    <col min="4" max="4" width="76.42578125" style="37"/>
    <col min="5" max="5" width="22" style="37"/>
    <col min="6" max="1025" width="8.5703125" style="37"/>
    <col min="1026" max="16384" width="9.140625" style="37"/>
  </cols>
  <sheetData>
    <row r="1" spans="1:5" x14ac:dyDescent="0.25">
      <c r="A1" s="33" t="s">
        <v>0</v>
      </c>
      <c r="B1" s="34" t="s">
        <v>1</v>
      </c>
      <c r="C1" s="35" t="s">
        <v>2</v>
      </c>
      <c r="D1" s="35" t="s">
        <v>3</v>
      </c>
      <c r="E1" s="36" t="s">
        <v>4</v>
      </c>
    </row>
    <row r="2" spans="1:5" x14ac:dyDescent="0.25">
      <c r="A2" s="38" t="s">
        <v>23</v>
      </c>
      <c r="B2" s="39">
        <v>7912.3396700000003</v>
      </c>
      <c r="C2" s="38" t="s">
        <v>24</v>
      </c>
      <c r="D2" s="38" t="s">
        <v>25</v>
      </c>
      <c r="E2" s="40">
        <f t="shared" ref="E2:E7" si="0">B2*1000</f>
        <v>7912339.6699999999</v>
      </c>
    </row>
    <row r="3" spans="1:5" x14ac:dyDescent="0.25">
      <c r="A3" s="41" t="s">
        <v>26</v>
      </c>
      <c r="B3" s="42">
        <v>2836.1046000000001</v>
      </c>
      <c r="C3" s="41" t="s">
        <v>24</v>
      </c>
      <c r="D3" s="41" t="s">
        <v>27</v>
      </c>
      <c r="E3" s="40">
        <f t="shared" si="0"/>
        <v>2836104.6</v>
      </c>
    </row>
    <row r="4" spans="1:5" x14ac:dyDescent="0.25">
      <c r="A4" s="43" t="s">
        <v>28</v>
      </c>
      <c r="B4" s="44">
        <v>500.08170000000001</v>
      </c>
      <c r="C4" s="43" t="s">
        <v>24</v>
      </c>
      <c r="D4" s="43" t="s">
        <v>29</v>
      </c>
      <c r="E4" s="45">
        <f t="shared" si="0"/>
        <v>500081.7</v>
      </c>
    </row>
    <row r="5" spans="1:5" x14ac:dyDescent="0.25">
      <c r="A5" s="41" t="s">
        <v>30</v>
      </c>
      <c r="B5" s="42">
        <v>-2.3534999999999999</v>
      </c>
      <c r="C5" s="41" t="s">
        <v>31</v>
      </c>
      <c r="D5" s="38" t="s">
        <v>32</v>
      </c>
      <c r="E5" s="40">
        <f t="shared" si="0"/>
        <v>-2353.5</v>
      </c>
    </row>
    <row r="6" spans="1:5" x14ac:dyDescent="0.25">
      <c r="A6" s="41" t="s">
        <v>33</v>
      </c>
      <c r="B6" s="42">
        <v>6.3680000000000003</v>
      </c>
      <c r="C6" s="41" t="s">
        <v>31</v>
      </c>
      <c r="D6" s="41" t="s">
        <v>34</v>
      </c>
      <c r="E6" s="40">
        <f t="shared" si="0"/>
        <v>6368</v>
      </c>
    </row>
    <row r="7" spans="1:5" x14ac:dyDescent="0.25">
      <c r="A7" s="43" t="s">
        <v>35</v>
      </c>
      <c r="B7" s="44">
        <v>-1.1228564999999999</v>
      </c>
      <c r="C7" s="43" t="s">
        <v>31</v>
      </c>
      <c r="D7" s="43" t="s">
        <v>36</v>
      </c>
      <c r="E7" s="45">
        <f t="shared" si="0"/>
        <v>-1122.8564999999999</v>
      </c>
    </row>
    <row r="8" spans="1:5" x14ac:dyDescent="0.25">
      <c r="A8" s="41" t="s">
        <v>40</v>
      </c>
      <c r="B8" s="42">
        <v>7600</v>
      </c>
      <c r="C8" s="41" t="s">
        <v>24</v>
      </c>
      <c r="D8" s="41" t="s">
        <v>25</v>
      </c>
      <c r="E8" s="40">
        <f t="shared" ref="E8:E13" si="1">B8*1000</f>
        <v>7600000</v>
      </c>
    </row>
    <row r="9" spans="1:5" x14ac:dyDescent="0.25">
      <c r="A9" s="41" t="s">
        <v>41</v>
      </c>
      <c r="B9" s="42">
        <v>3589</v>
      </c>
      <c r="C9" s="41" t="s">
        <v>24</v>
      </c>
      <c r="D9" s="41" t="s">
        <v>27</v>
      </c>
      <c r="E9" s="40">
        <f t="shared" si="1"/>
        <v>3589000</v>
      </c>
    </row>
    <row r="10" spans="1:5" x14ac:dyDescent="0.25">
      <c r="A10" s="43" t="s">
        <v>42</v>
      </c>
      <c r="B10" s="44">
        <v>-500</v>
      </c>
      <c r="C10" s="43" t="s">
        <v>24</v>
      </c>
      <c r="D10" s="43" t="s">
        <v>29</v>
      </c>
      <c r="E10" s="45">
        <f t="shared" si="1"/>
        <v>-500000</v>
      </c>
    </row>
    <row r="11" spans="1:5" s="46" customFormat="1" x14ac:dyDescent="0.25">
      <c r="A11" s="41" t="s">
        <v>43</v>
      </c>
      <c r="B11" s="42">
        <v>-2.839</v>
      </c>
      <c r="C11" s="41" t="s">
        <v>31</v>
      </c>
      <c r="D11" s="38" t="s">
        <v>32</v>
      </c>
      <c r="E11" s="40">
        <f t="shared" si="1"/>
        <v>-2839</v>
      </c>
    </row>
    <row r="12" spans="1:5" x14ac:dyDescent="0.25">
      <c r="A12" s="41" t="s">
        <v>44</v>
      </c>
      <c r="B12" s="42">
        <v>6.17</v>
      </c>
      <c r="C12" s="41" t="s">
        <v>31</v>
      </c>
      <c r="D12" s="41" t="s">
        <v>34</v>
      </c>
      <c r="E12" s="40">
        <f t="shared" si="1"/>
        <v>6170</v>
      </c>
    </row>
    <row r="13" spans="1:5" x14ac:dyDescent="0.25">
      <c r="A13" s="43" t="s">
        <v>45</v>
      </c>
      <c r="B13" s="44">
        <v>-1.1200000000000001</v>
      </c>
      <c r="C13" s="43" t="s">
        <v>31</v>
      </c>
      <c r="D13" s="43" t="s">
        <v>36</v>
      </c>
      <c r="E13" s="45">
        <f t="shared" si="1"/>
        <v>-1120</v>
      </c>
    </row>
    <row r="14" spans="1:5" x14ac:dyDescent="0.25">
      <c r="A14" s="41" t="s">
        <v>47</v>
      </c>
      <c r="B14" s="42">
        <v>7993.2289517626796</v>
      </c>
      <c r="C14" s="41" t="s">
        <v>24</v>
      </c>
      <c r="D14" s="41" t="s">
        <v>25</v>
      </c>
      <c r="E14" s="40">
        <f t="shared" ref="E14:E19" si="2">B14*1000</f>
        <v>7993228.95176268</v>
      </c>
    </row>
    <row r="15" spans="1:5" x14ac:dyDescent="0.25">
      <c r="A15" s="41" t="s">
        <v>48</v>
      </c>
      <c r="B15" s="42">
        <v>2319.6356760459498</v>
      </c>
      <c r="C15" s="41" t="s">
        <v>24</v>
      </c>
      <c r="D15" s="41" t="s">
        <v>27</v>
      </c>
      <c r="E15" s="40">
        <f t="shared" si="2"/>
        <v>2319635.67604595</v>
      </c>
    </row>
    <row r="16" spans="1:5" x14ac:dyDescent="0.25">
      <c r="A16" s="43" t="s">
        <v>49</v>
      </c>
      <c r="B16" s="44">
        <v>1275.2535095477101</v>
      </c>
      <c r="C16" s="43" t="s">
        <v>24</v>
      </c>
      <c r="D16" s="43" t="s">
        <v>29</v>
      </c>
      <c r="E16" s="45">
        <f t="shared" si="2"/>
        <v>1275253.5095477102</v>
      </c>
    </row>
    <row r="17" spans="1:5" x14ac:dyDescent="0.25">
      <c r="A17" s="41" t="s">
        <v>50</v>
      </c>
      <c r="B17" s="42">
        <v>-2.1579284716607798</v>
      </c>
      <c r="C17" s="41" t="s">
        <v>31</v>
      </c>
      <c r="D17" s="38" t="s">
        <v>32</v>
      </c>
      <c r="E17" s="40">
        <f t="shared" si="2"/>
        <v>-2157.9284716607799</v>
      </c>
    </row>
    <row r="18" spans="1:5" x14ac:dyDescent="0.25">
      <c r="A18" s="41" t="s">
        <v>51</v>
      </c>
      <c r="B18" s="42">
        <v>5.9433970953411404</v>
      </c>
      <c r="C18" s="41" t="s">
        <v>31</v>
      </c>
      <c r="D18" s="41" t="s">
        <v>34</v>
      </c>
      <c r="E18" s="40">
        <f t="shared" si="2"/>
        <v>5943.3970953411408</v>
      </c>
    </row>
    <row r="19" spans="1:5" x14ac:dyDescent="0.25">
      <c r="A19" s="43" t="s">
        <v>52</v>
      </c>
      <c r="B19" s="44">
        <v>-2.7149898983448</v>
      </c>
      <c r="C19" s="43" t="s">
        <v>31</v>
      </c>
      <c r="D19" s="43" t="s">
        <v>36</v>
      </c>
      <c r="E19" s="45">
        <f t="shared" si="2"/>
        <v>-2714.9898983448002</v>
      </c>
    </row>
    <row r="20" spans="1:5" x14ac:dyDescent="0.25">
      <c r="A20" s="41" t="s">
        <v>54</v>
      </c>
      <c r="B20" s="42">
        <v>0</v>
      </c>
      <c r="C20" s="41" t="s">
        <v>24</v>
      </c>
      <c r="D20" s="41" t="s">
        <v>25</v>
      </c>
      <c r="E20" s="47">
        <f t="shared" ref="E20:E25" si="3">B20*1000</f>
        <v>0</v>
      </c>
    </row>
    <row r="21" spans="1:5" x14ac:dyDescent="0.25">
      <c r="A21" s="41" t="s">
        <v>55</v>
      </c>
      <c r="B21" s="42">
        <v>0</v>
      </c>
      <c r="C21" s="41" t="s">
        <v>24</v>
      </c>
      <c r="D21" s="41" t="s">
        <v>27</v>
      </c>
      <c r="E21" s="40">
        <f t="shared" si="3"/>
        <v>0</v>
      </c>
    </row>
    <row r="22" spans="1:5" x14ac:dyDescent="0.25">
      <c r="A22" s="43" t="s">
        <v>56</v>
      </c>
      <c r="B22" s="44">
        <v>0</v>
      </c>
      <c r="C22" s="43" t="s">
        <v>24</v>
      </c>
      <c r="D22" s="43" t="s">
        <v>29</v>
      </c>
      <c r="E22" s="45">
        <f t="shared" si="3"/>
        <v>0</v>
      </c>
    </row>
    <row r="23" spans="1:5" x14ac:dyDescent="0.25">
      <c r="A23" s="41" t="s">
        <v>57</v>
      </c>
      <c r="B23" s="42">
        <v>0</v>
      </c>
      <c r="C23" s="41" t="s">
        <v>31</v>
      </c>
      <c r="D23" s="38" t="s">
        <v>32</v>
      </c>
      <c r="E23" s="40">
        <f t="shared" si="3"/>
        <v>0</v>
      </c>
    </row>
    <row r="24" spans="1:5" x14ac:dyDescent="0.25">
      <c r="A24" s="41" t="s">
        <v>58</v>
      </c>
      <c r="B24" s="42">
        <v>0</v>
      </c>
      <c r="C24" s="41" t="s">
        <v>31</v>
      </c>
      <c r="D24" s="41" t="s">
        <v>34</v>
      </c>
      <c r="E24" s="40">
        <f t="shared" si="3"/>
        <v>0</v>
      </c>
    </row>
    <row r="25" spans="1:5" x14ac:dyDescent="0.25">
      <c r="A25" s="43" t="s">
        <v>59</v>
      </c>
      <c r="B25" s="44">
        <v>0</v>
      </c>
      <c r="C25" s="43" t="s">
        <v>31</v>
      </c>
      <c r="D25" s="43" t="s">
        <v>36</v>
      </c>
      <c r="E25" s="45">
        <f t="shared" si="3"/>
        <v>0</v>
      </c>
    </row>
    <row r="26" spans="1:5" x14ac:dyDescent="0.25">
      <c r="A26" s="41" t="s">
        <v>61</v>
      </c>
      <c r="B26" s="42">
        <v>0</v>
      </c>
      <c r="C26" s="41" t="s">
        <v>24</v>
      </c>
      <c r="D26" s="41" t="s">
        <v>25</v>
      </c>
      <c r="E26" s="40">
        <f t="shared" ref="E26:E31" si="4">B26*1000</f>
        <v>0</v>
      </c>
    </row>
    <row r="27" spans="1:5" x14ac:dyDescent="0.25">
      <c r="A27" s="41" t="s">
        <v>62</v>
      </c>
      <c r="B27" s="42">
        <v>0</v>
      </c>
      <c r="C27" s="41" t="s">
        <v>24</v>
      </c>
      <c r="D27" s="41" t="s">
        <v>27</v>
      </c>
      <c r="E27" s="40">
        <f t="shared" si="4"/>
        <v>0</v>
      </c>
    </row>
    <row r="28" spans="1:5" x14ac:dyDescent="0.25">
      <c r="A28" s="43" t="s">
        <v>63</v>
      </c>
      <c r="B28" s="44">
        <v>0</v>
      </c>
      <c r="C28" s="43" t="s">
        <v>24</v>
      </c>
      <c r="D28" s="43" t="s">
        <v>29</v>
      </c>
      <c r="E28" s="45">
        <f t="shared" si="4"/>
        <v>0</v>
      </c>
    </row>
    <row r="29" spans="1:5" x14ac:dyDescent="0.25">
      <c r="A29" s="41" t="s">
        <v>64</v>
      </c>
      <c r="B29" s="42">
        <v>0</v>
      </c>
      <c r="C29" s="41" t="s">
        <v>31</v>
      </c>
      <c r="D29" s="38" t="s">
        <v>32</v>
      </c>
      <c r="E29" s="40">
        <f t="shared" si="4"/>
        <v>0</v>
      </c>
    </row>
    <row r="30" spans="1:5" x14ac:dyDescent="0.25">
      <c r="A30" s="41" t="s">
        <v>65</v>
      </c>
      <c r="B30" s="42">
        <v>0</v>
      </c>
      <c r="C30" s="41" t="s">
        <v>31</v>
      </c>
      <c r="D30" s="41" t="s">
        <v>34</v>
      </c>
      <c r="E30" s="40">
        <f t="shared" si="4"/>
        <v>0</v>
      </c>
    </row>
    <row r="31" spans="1:5" x14ac:dyDescent="0.25">
      <c r="A31" s="43" t="s">
        <v>66</v>
      </c>
      <c r="B31" s="44">
        <v>0</v>
      </c>
      <c r="C31" s="43" t="s">
        <v>31</v>
      </c>
      <c r="D31" s="43" t="s">
        <v>36</v>
      </c>
      <c r="E31" s="45">
        <f t="shared" si="4"/>
        <v>0</v>
      </c>
    </row>
    <row r="32" spans="1:5" x14ac:dyDescent="0.25">
      <c r="A32" s="41" t="s">
        <v>68</v>
      </c>
      <c r="B32" s="42">
        <v>0</v>
      </c>
      <c r="C32" s="41" t="s">
        <v>24</v>
      </c>
      <c r="D32" s="41" t="s">
        <v>25</v>
      </c>
      <c r="E32" s="40">
        <f t="shared" ref="E32:E37" si="5">B32*1000</f>
        <v>0</v>
      </c>
    </row>
    <row r="33" spans="1:5" x14ac:dyDescent="0.25">
      <c r="A33" s="41" t="s">
        <v>69</v>
      </c>
      <c r="B33" s="42">
        <v>0</v>
      </c>
      <c r="C33" s="41" t="s">
        <v>24</v>
      </c>
      <c r="D33" s="41" t="s">
        <v>27</v>
      </c>
      <c r="E33" s="40">
        <f t="shared" si="5"/>
        <v>0</v>
      </c>
    </row>
    <row r="34" spans="1:5" x14ac:dyDescent="0.25">
      <c r="A34" s="43" t="s">
        <v>70</v>
      </c>
      <c r="B34" s="44">
        <v>0</v>
      </c>
      <c r="C34" s="43" t="s">
        <v>24</v>
      </c>
      <c r="D34" s="43" t="s">
        <v>29</v>
      </c>
      <c r="E34" s="45">
        <f t="shared" si="5"/>
        <v>0</v>
      </c>
    </row>
    <row r="35" spans="1:5" x14ac:dyDescent="0.25">
      <c r="A35" s="41" t="s">
        <v>71</v>
      </c>
      <c r="B35" s="42">
        <v>0</v>
      </c>
      <c r="C35" s="41" t="s">
        <v>31</v>
      </c>
      <c r="D35" s="38" t="s">
        <v>32</v>
      </c>
      <c r="E35" s="40">
        <f t="shared" si="5"/>
        <v>0</v>
      </c>
    </row>
    <row r="36" spans="1:5" x14ac:dyDescent="0.25">
      <c r="A36" s="41" t="s">
        <v>72</v>
      </c>
      <c r="B36" s="42">
        <v>0</v>
      </c>
      <c r="C36" s="41" t="s">
        <v>31</v>
      </c>
      <c r="D36" s="41" t="s">
        <v>34</v>
      </c>
      <c r="E36" s="40">
        <f t="shared" si="5"/>
        <v>0</v>
      </c>
    </row>
    <row r="37" spans="1:5" x14ac:dyDescent="0.25">
      <c r="A37" s="43" t="s">
        <v>73</v>
      </c>
      <c r="B37" s="44">
        <v>0</v>
      </c>
      <c r="C37" s="43" t="s">
        <v>31</v>
      </c>
      <c r="D37" s="43" t="s">
        <v>36</v>
      </c>
      <c r="E37" s="45">
        <f t="shared" si="5"/>
        <v>0</v>
      </c>
    </row>
    <row r="38" spans="1:5" x14ac:dyDescent="0.25">
      <c r="A38" s="41" t="s">
        <v>75</v>
      </c>
      <c r="B38" s="42">
        <v>0</v>
      </c>
      <c r="C38" s="41" t="s">
        <v>24</v>
      </c>
      <c r="D38" s="41" t="s">
        <v>25</v>
      </c>
      <c r="E38" s="40">
        <f t="shared" ref="E38:E43" si="6">B38*1000</f>
        <v>0</v>
      </c>
    </row>
    <row r="39" spans="1:5" x14ac:dyDescent="0.25">
      <c r="A39" s="41" t="s">
        <v>76</v>
      </c>
      <c r="B39" s="42">
        <v>0</v>
      </c>
      <c r="C39" s="41" t="s">
        <v>24</v>
      </c>
      <c r="D39" s="41" t="s">
        <v>27</v>
      </c>
      <c r="E39" s="40">
        <f t="shared" si="6"/>
        <v>0</v>
      </c>
    </row>
    <row r="40" spans="1:5" x14ac:dyDescent="0.25">
      <c r="A40" s="43" t="s">
        <v>77</v>
      </c>
      <c r="B40" s="44">
        <v>0</v>
      </c>
      <c r="C40" s="43" t="s">
        <v>24</v>
      </c>
      <c r="D40" s="43" t="s">
        <v>29</v>
      </c>
      <c r="E40" s="45">
        <f t="shared" si="6"/>
        <v>0</v>
      </c>
    </row>
    <row r="41" spans="1:5" x14ac:dyDescent="0.25">
      <c r="A41" s="41" t="s">
        <v>78</v>
      </c>
      <c r="B41" s="42">
        <v>0</v>
      </c>
      <c r="C41" s="41" t="s">
        <v>31</v>
      </c>
      <c r="D41" s="38" t="s">
        <v>32</v>
      </c>
      <c r="E41" s="40">
        <f t="shared" si="6"/>
        <v>0</v>
      </c>
    </row>
    <row r="42" spans="1:5" x14ac:dyDescent="0.25">
      <c r="A42" s="41" t="s">
        <v>79</v>
      </c>
      <c r="B42" s="42">
        <v>0</v>
      </c>
      <c r="C42" s="41" t="s">
        <v>31</v>
      </c>
      <c r="D42" s="41" t="s">
        <v>34</v>
      </c>
      <c r="E42" s="40">
        <f t="shared" si="6"/>
        <v>0</v>
      </c>
    </row>
    <row r="43" spans="1:5" x14ac:dyDescent="0.25">
      <c r="A43" s="43" t="s">
        <v>80</v>
      </c>
      <c r="B43" s="44">
        <v>0</v>
      </c>
      <c r="C43" s="43" t="s">
        <v>31</v>
      </c>
      <c r="D43" s="43" t="s">
        <v>36</v>
      </c>
      <c r="E43" s="45">
        <f t="shared" si="6"/>
        <v>0</v>
      </c>
    </row>
    <row r="44" spans="1:5" x14ac:dyDescent="0.25">
      <c r="A44" s="41" t="s">
        <v>37</v>
      </c>
      <c r="B44" s="42">
        <v>5.47E-8</v>
      </c>
      <c r="C44" s="41" t="s">
        <v>38</v>
      </c>
      <c r="D44" s="41" t="s">
        <v>39</v>
      </c>
      <c r="E44" s="47">
        <f t="shared" ref="E44:E50" si="7">B44</f>
        <v>5.47E-8</v>
      </c>
    </row>
    <row r="45" spans="1:5" x14ac:dyDescent="0.25">
      <c r="A45" s="41" t="s">
        <v>46</v>
      </c>
      <c r="B45" s="42">
        <v>3.2299999999999998E-9</v>
      </c>
      <c r="C45" s="41" t="s">
        <v>38</v>
      </c>
      <c r="D45" s="41" t="s">
        <v>189</v>
      </c>
      <c r="E45" s="40">
        <f t="shared" si="7"/>
        <v>3.2299999999999998E-9</v>
      </c>
    </row>
    <row r="46" spans="1:5" x14ac:dyDescent="0.25">
      <c r="A46" s="41" t="s">
        <v>53</v>
      </c>
      <c r="B46" s="42">
        <v>-2.0000000000000001E-9</v>
      </c>
      <c r="C46" s="41" t="s">
        <v>38</v>
      </c>
      <c r="D46" s="41" t="s">
        <v>190</v>
      </c>
      <c r="E46" s="40">
        <f t="shared" si="7"/>
        <v>-2.0000000000000001E-9</v>
      </c>
    </row>
    <row r="47" spans="1:5" x14ac:dyDescent="0.25">
      <c r="A47" s="41" t="s">
        <v>60</v>
      </c>
      <c r="B47" s="42">
        <v>0</v>
      </c>
      <c r="C47" s="41" t="s">
        <v>38</v>
      </c>
      <c r="D47" s="41" t="s">
        <v>191</v>
      </c>
      <c r="E47" s="40">
        <f t="shared" si="7"/>
        <v>0</v>
      </c>
    </row>
    <row r="48" spans="1:5" x14ac:dyDescent="0.25">
      <c r="A48" s="41" t="s">
        <v>67</v>
      </c>
      <c r="B48" s="42">
        <v>0</v>
      </c>
      <c r="C48" s="41" t="s">
        <v>38</v>
      </c>
      <c r="D48" s="41" t="s">
        <v>192</v>
      </c>
      <c r="E48" s="40">
        <f t="shared" si="7"/>
        <v>0</v>
      </c>
    </row>
    <row r="49" spans="1:7" x14ac:dyDescent="0.25">
      <c r="A49" s="41" t="s">
        <v>74</v>
      </c>
      <c r="B49" s="42">
        <v>0</v>
      </c>
      <c r="C49" s="41" t="s">
        <v>38</v>
      </c>
      <c r="D49" s="41" t="s">
        <v>193</v>
      </c>
      <c r="E49" s="40">
        <f t="shared" si="7"/>
        <v>0</v>
      </c>
    </row>
    <row r="50" spans="1:7" x14ac:dyDescent="0.25">
      <c r="A50" s="43" t="s">
        <v>81</v>
      </c>
      <c r="B50" s="44">
        <v>0</v>
      </c>
      <c r="C50" s="43" t="s">
        <v>38</v>
      </c>
      <c r="D50" s="43" t="s">
        <v>194</v>
      </c>
      <c r="E50" s="45">
        <f t="shared" si="7"/>
        <v>0</v>
      </c>
    </row>
    <row r="51" spans="1:7" s="50" customFormat="1" x14ac:dyDescent="0.25">
      <c r="A51" s="48" t="s">
        <v>82</v>
      </c>
      <c r="B51" s="48">
        <v>7142.8</v>
      </c>
      <c r="C51" s="48" t="s">
        <v>24</v>
      </c>
      <c r="D51" s="48" t="s">
        <v>83</v>
      </c>
      <c r="E51" s="49">
        <f t="shared" ref="E51:E56" si="8">B51*1000</f>
        <v>7142800</v>
      </c>
    </row>
    <row r="52" spans="1:7" s="51" customFormat="1" x14ac:dyDescent="0.25">
      <c r="A52" s="50" t="s">
        <v>84</v>
      </c>
      <c r="B52" s="50">
        <v>4456.8</v>
      </c>
      <c r="C52" s="50" t="s">
        <v>24</v>
      </c>
      <c r="D52" s="48" t="s">
        <v>85</v>
      </c>
      <c r="E52" s="49">
        <f t="shared" si="8"/>
        <v>4456800</v>
      </c>
    </row>
    <row r="53" spans="1:7" s="51" customFormat="1" x14ac:dyDescent="0.25">
      <c r="A53" s="52" t="s">
        <v>86</v>
      </c>
      <c r="B53" s="52">
        <v>127.434</v>
      </c>
      <c r="C53" s="52" t="s">
        <v>24</v>
      </c>
      <c r="D53" s="52" t="s">
        <v>87</v>
      </c>
      <c r="E53" s="53">
        <f t="shared" si="8"/>
        <v>127434</v>
      </c>
    </row>
    <row r="54" spans="1:7" s="51" customFormat="1" x14ac:dyDescent="0.25">
      <c r="A54" s="48" t="s">
        <v>88</v>
      </c>
      <c r="B54" s="48">
        <v>-3.637</v>
      </c>
      <c r="C54" s="48" t="s">
        <v>31</v>
      </c>
      <c r="D54" s="54" t="s">
        <v>89</v>
      </c>
      <c r="E54" s="49">
        <f t="shared" si="8"/>
        <v>-3637</v>
      </c>
    </row>
    <row r="55" spans="1:7" s="51" customFormat="1" x14ac:dyDescent="0.25">
      <c r="A55" s="50" t="s">
        <v>90</v>
      </c>
      <c r="B55" s="50">
        <v>5.8120000000000003</v>
      </c>
      <c r="C55" s="50" t="s">
        <v>31</v>
      </c>
      <c r="D55" s="48" t="s">
        <v>91</v>
      </c>
      <c r="E55" s="49">
        <f t="shared" si="8"/>
        <v>5812</v>
      </c>
    </row>
    <row r="56" spans="1:7" s="51" customFormat="1" x14ac:dyDescent="0.25">
      <c r="A56" s="52" t="s">
        <v>92</v>
      </c>
      <c r="B56" s="52">
        <v>-0.59060000000000001</v>
      </c>
      <c r="C56" s="52" t="s">
        <v>31</v>
      </c>
      <c r="D56" s="52" t="s">
        <v>93</v>
      </c>
      <c r="E56" s="53">
        <f t="shared" si="8"/>
        <v>-590.6</v>
      </c>
      <c r="F56" s="48"/>
      <c r="G56" s="55"/>
    </row>
    <row r="57" spans="1:7" x14ac:dyDescent="0.25">
      <c r="A57" s="56" t="s">
        <v>94</v>
      </c>
      <c r="B57" s="56">
        <v>-7.0000000000000007E-2</v>
      </c>
      <c r="C57" s="56" t="s">
        <v>95</v>
      </c>
      <c r="D57" s="56" t="s">
        <v>96</v>
      </c>
      <c r="E57" s="57">
        <f>B57</f>
        <v>-7.0000000000000007E-2</v>
      </c>
      <c r="F57" s="46"/>
      <c r="G57" s="46"/>
    </row>
    <row r="58" spans="1:7" x14ac:dyDescent="0.25">
      <c r="A58" s="46" t="s">
        <v>97</v>
      </c>
      <c r="B58" s="46">
        <v>0.1</v>
      </c>
      <c r="C58" s="46" t="s">
        <v>95</v>
      </c>
      <c r="D58" s="46" t="s">
        <v>98</v>
      </c>
      <c r="E58" s="58">
        <f>B58</f>
        <v>0.1</v>
      </c>
      <c r="F58" s="46"/>
      <c r="G58" s="46"/>
    </row>
    <row r="59" spans="1:7" x14ac:dyDescent="0.25">
      <c r="A59" s="59" t="s">
        <v>99</v>
      </c>
      <c r="B59" s="59">
        <v>-0.04</v>
      </c>
      <c r="C59" s="59" t="s">
        <v>95</v>
      </c>
      <c r="D59" s="59" t="s">
        <v>100</v>
      </c>
      <c r="E59" s="60">
        <f>B59</f>
        <v>-0.04</v>
      </c>
      <c r="F59" s="46"/>
      <c r="G59" s="46"/>
    </row>
    <row r="60" spans="1:7" x14ac:dyDescent="0.25">
      <c r="A60" s="41"/>
      <c r="B60" s="41"/>
      <c r="C60" s="41"/>
      <c r="D60" s="41"/>
      <c r="E60" s="41"/>
    </row>
  </sheetData>
  <pageMargins left="0.7" right="0.7" top="0.75" bottom="0.75" header="0.51180555555555496" footer="0.51180555555555496"/>
  <pageSetup firstPageNumber="0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Normal="100" workbookViewId="0">
      <selection activeCell="B6" sqref="B6"/>
    </sheetView>
  </sheetViews>
  <sheetFormatPr defaultRowHeight="15" x14ac:dyDescent="0.25"/>
  <cols>
    <col min="1" max="1" width="10.7109375" style="51"/>
    <col min="2" max="5" width="20.7109375" style="51" customWidth="1"/>
    <col min="6" max="1025" width="8.5703125" style="51"/>
    <col min="1026" max="16384" width="9.140625" style="51"/>
  </cols>
  <sheetData>
    <row r="1" spans="1:5" x14ac:dyDescent="0.25">
      <c r="A1" s="51" t="s">
        <v>101</v>
      </c>
      <c r="B1" s="51" t="s">
        <v>102</v>
      </c>
      <c r="C1" s="51" t="s">
        <v>103</v>
      </c>
      <c r="D1" s="51" t="s">
        <v>104</v>
      </c>
      <c r="E1" s="51" t="s">
        <v>105</v>
      </c>
    </row>
    <row r="2" spans="1:5" s="61" customFormat="1" x14ac:dyDescent="0.25">
      <c r="A2" s="61" t="s">
        <v>106</v>
      </c>
      <c r="B2" s="61">
        <f>IF(Na&gt;=1,1,0)</f>
        <v>1</v>
      </c>
      <c r="C2" s="61">
        <f>B2+2</f>
        <v>3</v>
      </c>
      <c r="D2" s="61">
        <f>B2</f>
        <v>1</v>
      </c>
      <c r="E2" s="61">
        <f>C2</f>
        <v>3</v>
      </c>
    </row>
    <row r="3" spans="1:5" s="61" customFormat="1" x14ac:dyDescent="0.25">
      <c r="A3" s="61" t="s">
        <v>107</v>
      </c>
      <c r="B3" s="61">
        <f>C2+1</f>
        <v>4</v>
      </c>
      <c r="C3" s="61">
        <f>B3+2</f>
        <v>6</v>
      </c>
      <c r="D3" s="61">
        <f>B3</f>
        <v>4</v>
      </c>
      <c r="E3" s="61">
        <f>C3</f>
        <v>6</v>
      </c>
    </row>
    <row r="4" spans="1:5" x14ac:dyDescent="0.25">
      <c r="A4" s="51" t="s">
        <v>108</v>
      </c>
      <c r="B4" s="61">
        <f>IF(Na&gt;=2,C3+1,0)</f>
        <v>7</v>
      </c>
      <c r="C4" s="61">
        <f t="shared" ref="C4:C15" si="0">B4+2</f>
        <v>9</v>
      </c>
      <c r="D4" s="61">
        <f t="shared" ref="D4:D14" si="1">B4</f>
        <v>7</v>
      </c>
      <c r="E4" s="61">
        <f t="shared" ref="E4:E14" si="2">C4</f>
        <v>9</v>
      </c>
    </row>
    <row r="5" spans="1:5" x14ac:dyDescent="0.25">
      <c r="A5" s="51" t="s">
        <v>109</v>
      </c>
      <c r="B5" s="61">
        <f t="shared" ref="B5:B15" si="3">C4+1</f>
        <v>10</v>
      </c>
      <c r="C5" s="61">
        <f t="shared" si="0"/>
        <v>12</v>
      </c>
      <c r="D5" s="61">
        <f t="shared" si="1"/>
        <v>10</v>
      </c>
      <c r="E5" s="61">
        <f t="shared" si="2"/>
        <v>12</v>
      </c>
    </row>
    <row r="6" spans="1:5" s="61" customFormat="1" x14ac:dyDescent="0.25">
      <c r="A6" s="61" t="s">
        <v>110</v>
      </c>
      <c r="B6" s="61">
        <f>IF(Na&gt;=3,C5+1,0)</f>
        <v>13</v>
      </c>
      <c r="C6" s="61">
        <f t="shared" si="0"/>
        <v>15</v>
      </c>
      <c r="D6" s="61">
        <f t="shared" si="1"/>
        <v>13</v>
      </c>
      <c r="E6" s="61">
        <f t="shared" si="2"/>
        <v>15</v>
      </c>
    </row>
    <row r="7" spans="1:5" s="61" customFormat="1" x14ac:dyDescent="0.25">
      <c r="A7" s="61" t="s">
        <v>111</v>
      </c>
      <c r="B7" s="61">
        <f t="shared" si="3"/>
        <v>16</v>
      </c>
      <c r="C7" s="61">
        <f t="shared" si="0"/>
        <v>18</v>
      </c>
      <c r="D7" s="61">
        <f t="shared" si="1"/>
        <v>16</v>
      </c>
      <c r="E7" s="61">
        <f t="shared" si="2"/>
        <v>18</v>
      </c>
    </row>
    <row r="8" spans="1:5" x14ac:dyDescent="0.25">
      <c r="A8" s="51" t="s">
        <v>112</v>
      </c>
      <c r="B8" s="61">
        <f>IF(Na&gt;=4,C7+1,0)</f>
        <v>0</v>
      </c>
      <c r="C8" s="61">
        <f t="shared" si="0"/>
        <v>2</v>
      </c>
      <c r="D8" s="61">
        <f t="shared" si="1"/>
        <v>0</v>
      </c>
      <c r="E8" s="61">
        <f t="shared" si="2"/>
        <v>2</v>
      </c>
    </row>
    <row r="9" spans="1:5" x14ac:dyDescent="0.25">
      <c r="A9" s="51" t="s">
        <v>113</v>
      </c>
      <c r="B9" s="61">
        <f t="shared" si="3"/>
        <v>3</v>
      </c>
      <c r="C9" s="61">
        <f t="shared" si="0"/>
        <v>5</v>
      </c>
      <c r="D9" s="61">
        <f t="shared" si="1"/>
        <v>3</v>
      </c>
      <c r="E9" s="61">
        <f t="shared" si="2"/>
        <v>5</v>
      </c>
    </row>
    <row r="10" spans="1:5" s="61" customFormat="1" x14ac:dyDescent="0.25">
      <c r="A10" s="61" t="s">
        <v>114</v>
      </c>
      <c r="B10" s="61">
        <f>IF(Na&gt;=5,C9+1,0)</f>
        <v>0</v>
      </c>
      <c r="C10" s="61">
        <f t="shared" si="0"/>
        <v>2</v>
      </c>
      <c r="D10" s="61">
        <f t="shared" si="1"/>
        <v>0</v>
      </c>
      <c r="E10" s="61">
        <f t="shared" si="2"/>
        <v>2</v>
      </c>
    </row>
    <row r="11" spans="1:5" s="61" customFormat="1" x14ac:dyDescent="0.25">
      <c r="A11" s="61" t="s">
        <v>115</v>
      </c>
      <c r="B11" s="61">
        <f t="shared" si="3"/>
        <v>3</v>
      </c>
      <c r="C11" s="61">
        <f t="shared" si="0"/>
        <v>5</v>
      </c>
      <c r="D11" s="61">
        <f t="shared" si="1"/>
        <v>3</v>
      </c>
      <c r="E11" s="61">
        <f t="shared" si="2"/>
        <v>5</v>
      </c>
    </row>
    <row r="12" spans="1:5" x14ac:dyDescent="0.25">
      <c r="A12" s="51" t="s">
        <v>116</v>
      </c>
      <c r="B12" s="61">
        <f>IF(Na&gt;=6,C11+1,0)</f>
        <v>0</v>
      </c>
      <c r="C12" s="61">
        <f t="shared" si="0"/>
        <v>2</v>
      </c>
      <c r="D12" s="61">
        <f t="shared" si="1"/>
        <v>0</v>
      </c>
      <c r="E12" s="61">
        <f t="shared" si="2"/>
        <v>2</v>
      </c>
    </row>
    <row r="13" spans="1:5" x14ac:dyDescent="0.25">
      <c r="A13" s="51" t="s">
        <v>117</v>
      </c>
      <c r="B13" s="61">
        <f t="shared" si="3"/>
        <v>3</v>
      </c>
      <c r="C13" s="61">
        <f t="shared" si="0"/>
        <v>5</v>
      </c>
      <c r="D13" s="61">
        <f t="shared" si="1"/>
        <v>3</v>
      </c>
      <c r="E13" s="61">
        <f t="shared" si="2"/>
        <v>5</v>
      </c>
    </row>
    <row r="14" spans="1:5" s="61" customFormat="1" x14ac:dyDescent="0.25">
      <c r="A14" s="61" t="s">
        <v>118</v>
      </c>
      <c r="B14" s="61">
        <f>IF(Na&gt;=7,C13+1,0)</f>
        <v>0</v>
      </c>
      <c r="C14" s="61">
        <f t="shared" si="0"/>
        <v>2</v>
      </c>
      <c r="D14" s="61">
        <f t="shared" si="1"/>
        <v>0</v>
      </c>
      <c r="E14" s="61">
        <f t="shared" si="2"/>
        <v>2</v>
      </c>
    </row>
    <row r="15" spans="1:5" s="61" customFormat="1" x14ac:dyDescent="0.25">
      <c r="A15" s="61" t="s">
        <v>119</v>
      </c>
      <c r="B15" s="61">
        <f t="shared" si="3"/>
        <v>3</v>
      </c>
      <c r="C15" s="61">
        <f t="shared" si="0"/>
        <v>5</v>
      </c>
      <c r="D15" s="61">
        <f t="shared" ref="D15" si="4">B15</f>
        <v>3</v>
      </c>
      <c r="E15" s="61">
        <f t="shared" ref="E15" si="5">C15</f>
        <v>5</v>
      </c>
    </row>
    <row r="16" spans="1:5" s="61" customFormat="1" x14ac:dyDescent="0.25">
      <c r="A16" s="61" t="s">
        <v>199</v>
      </c>
      <c r="B16" s="61">
        <f>1+6*Na</f>
        <v>19</v>
      </c>
      <c r="C16" s="61">
        <f>7*Na</f>
        <v>21</v>
      </c>
      <c r="D16" s="61">
        <f t="shared" ref="D16:D19" si="6">B16</f>
        <v>19</v>
      </c>
      <c r="E16" s="61">
        <f t="shared" ref="E16:E19" si="7">C16</f>
        <v>21</v>
      </c>
    </row>
    <row r="17" spans="1:5" x14ac:dyDescent="0.25">
      <c r="A17" s="51" t="s">
        <v>120</v>
      </c>
      <c r="B17" s="51">
        <f>C16+1</f>
        <v>22</v>
      </c>
      <c r="C17" s="51">
        <f>B17+2</f>
        <v>24</v>
      </c>
      <c r="D17" s="61">
        <f t="shared" si="6"/>
        <v>22</v>
      </c>
      <c r="E17" s="61">
        <f t="shared" si="7"/>
        <v>24</v>
      </c>
    </row>
    <row r="18" spans="1:5" x14ac:dyDescent="0.25">
      <c r="A18" s="51" t="s">
        <v>121</v>
      </c>
      <c r="B18" s="51">
        <f t="shared" ref="B18:B19" si="8">C17+1</f>
        <v>25</v>
      </c>
      <c r="C18" s="51">
        <f t="shared" ref="C18:C19" si="9">B18+2</f>
        <v>27</v>
      </c>
      <c r="D18" s="61">
        <f t="shared" si="6"/>
        <v>25</v>
      </c>
      <c r="E18" s="61">
        <f t="shared" si="7"/>
        <v>27</v>
      </c>
    </row>
    <row r="19" spans="1:5" x14ac:dyDescent="0.25">
      <c r="A19" s="51" t="s">
        <v>122</v>
      </c>
      <c r="B19" s="51">
        <f t="shared" si="8"/>
        <v>28</v>
      </c>
      <c r="C19" s="51">
        <f t="shared" si="9"/>
        <v>30</v>
      </c>
      <c r="D19" s="61">
        <f t="shared" si="6"/>
        <v>28</v>
      </c>
      <c r="E19" s="61">
        <f t="shared" si="7"/>
        <v>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>
      <selection activeCell="C3" sqref="C3"/>
    </sheetView>
  </sheetViews>
  <sheetFormatPr defaultRowHeight="15" x14ac:dyDescent="0.25"/>
  <cols>
    <col min="1" max="1" width="10.7109375"/>
    <col min="2" max="3" width="8.5703125"/>
    <col min="4" max="4" width="15.5703125"/>
    <col min="5" max="5" width="15"/>
    <col min="6" max="1025" width="8.5703125"/>
  </cols>
  <sheetData>
    <row r="1" spans="1:5" x14ac:dyDescent="0.25">
      <c r="A1" t="s">
        <v>101</v>
      </c>
      <c r="B1" t="s">
        <v>102</v>
      </c>
      <c r="C1" t="s">
        <v>103</v>
      </c>
      <c r="D1" t="s">
        <v>104</v>
      </c>
      <c r="E1" t="s">
        <v>105</v>
      </c>
    </row>
    <row r="2" spans="1:5" x14ac:dyDescent="0.25">
      <c r="A2" t="s">
        <v>199</v>
      </c>
      <c r="B2">
        <v>1</v>
      </c>
      <c r="C2">
        <f>Na</f>
        <v>3</v>
      </c>
      <c r="D2">
        <f>B2</f>
        <v>1</v>
      </c>
      <c r="E2">
        <f>C2</f>
        <v>3</v>
      </c>
    </row>
    <row r="3" spans="1:5" x14ac:dyDescent="0.25">
      <c r="A3" t="s">
        <v>123</v>
      </c>
      <c r="B3">
        <f>C2+1</f>
        <v>4</v>
      </c>
      <c r="C3">
        <f>B3+2</f>
        <v>6</v>
      </c>
      <c r="D3">
        <f t="shared" ref="D3:D5" si="0">B3</f>
        <v>4</v>
      </c>
      <c r="E3">
        <f t="shared" ref="E3:E5" si="1">C3</f>
        <v>6</v>
      </c>
    </row>
    <row r="4" spans="1:5" x14ac:dyDescent="0.25">
      <c r="A4" t="s">
        <v>124</v>
      </c>
      <c r="B4">
        <f t="shared" ref="B4:B5" si="2">C3+1</f>
        <v>7</v>
      </c>
      <c r="C4">
        <f t="shared" ref="C4:C5" si="3">B4+2</f>
        <v>9</v>
      </c>
      <c r="D4">
        <f t="shared" si="0"/>
        <v>7</v>
      </c>
      <c r="E4">
        <f t="shared" si="1"/>
        <v>9</v>
      </c>
    </row>
    <row r="5" spans="1:5" x14ac:dyDescent="0.25">
      <c r="A5" t="s">
        <v>122</v>
      </c>
      <c r="B5">
        <f t="shared" si="2"/>
        <v>10</v>
      </c>
      <c r="C5">
        <f t="shared" si="3"/>
        <v>12</v>
      </c>
      <c r="D5">
        <f t="shared" si="0"/>
        <v>10</v>
      </c>
      <c r="E5">
        <f t="shared" si="1"/>
        <v>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>
      <selection activeCell="D27" sqref="D27"/>
    </sheetView>
  </sheetViews>
  <sheetFormatPr defaultRowHeight="15" x14ac:dyDescent="0.25"/>
  <cols>
    <col min="1" max="1" width="13.28515625"/>
    <col min="2" max="2" width="11.5703125"/>
    <col min="3" max="3" width="12.5703125"/>
    <col min="4" max="4" width="50.5703125"/>
    <col min="5" max="5" width="15.28515625"/>
    <col min="6" max="6" width="15.140625"/>
    <col min="7" max="1025" width="8.5703125"/>
  </cols>
  <sheetData>
    <row r="1" spans="1:6" x14ac:dyDescent="0.25">
      <c r="A1" s="15" t="s">
        <v>0</v>
      </c>
      <c r="B1" s="16" t="s">
        <v>1</v>
      </c>
      <c r="C1" s="17" t="s">
        <v>2</v>
      </c>
      <c r="D1" s="17" t="s">
        <v>3</v>
      </c>
      <c r="E1" s="18" t="s">
        <v>4</v>
      </c>
    </row>
    <row r="2" spans="1:6" x14ac:dyDescent="0.25">
      <c r="A2" s="8" t="s">
        <v>125</v>
      </c>
      <c r="B2" s="19">
        <f>0.00000016*3</f>
        <v>4.8000000000000006E-7</v>
      </c>
      <c r="C2" s="9" t="s">
        <v>126</v>
      </c>
      <c r="D2" s="9" t="s">
        <v>127</v>
      </c>
      <c r="E2" s="10">
        <f>B2/3</f>
        <v>1.6000000000000003E-7</v>
      </c>
    </row>
    <row r="3" spans="1:6" x14ac:dyDescent="0.25">
      <c r="A3" s="8" t="s">
        <v>128</v>
      </c>
      <c r="B3" s="20">
        <v>5</v>
      </c>
      <c r="C3" s="19" t="s">
        <v>129</v>
      </c>
      <c r="D3" s="9" t="s">
        <v>130</v>
      </c>
      <c r="E3" s="10">
        <f>RADIANS(B3)/hr2sec/3</f>
        <v>8.0802280184922667E-6</v>
      </c>
      <c r="F3" s="21"/>
    </row>
    <row r="4" spans="1:6" x14ac:dyDescent="0.25">
      <c r="A4" s="11" t="s">
        <v>131</v>
      </c>
      <c r="B4" s="22">
        <v>0.05</v>
      </c>
      <c r="C4" s="12" t="s">
        <v>132</v>
      </c>
      <c r="D4" s="12" t="s">
        <v>133</v>
      </c>
      <c r="E4" s="13">
        <f>RADIANS(B4)/SQRT(hr2sec)/3</f>
        <v>4.8481368110953598E-6</v>
      </c>
    </row>
    <row r="5" spans="1:6" x14ac:dyDescent="0.25">
      <c r="A5" s="8" t="s">
        <v>134</v>
      </c>
      <c r="B5" s="20">
        <v>20</v>
      </c>
      <c r="C5" s="9" t="s">
        <v>135</v>
      </c>
      <c r="D5" s="9" t="s">
        <v>136</v>
      </c>
      <c r="E5" s="10">
        <f>RADIANS(B5)/3600/3</f>
        <v>3.2320912073969067E-5</v>
      </c>
    </row>
    <row r="6" spans="1:6" x14ac:dyDescent="0.25">
      <c r="A6" s="8" t="s">
        <v>137</v>
      </c>
      <c r="B6" s="20">
        <v>20</v>
      </c>
      <c r="C6" s="9" t="s">
        <v>135</v>
      </c>
      <c r="D6" s="9" t="s">
        <v>138</v>
      </c>
      <c r="E6" s="10">
        <f>RADIANS(B6)/3600/3</f>
        <v>3.2320912073969067E-5</v>
      </c>
    </row>
    <row r="7" spans="1:6" x14ac:dyDescent="0.25">
      <c r="A7" s="8" t="s">
        <v>139</v>
      </c>
      <c r="B7" s="20">
        <v>1.5</v>
      </c>
      <c r="C7" s="9" t="s">
        <v>140</v>
      </c>
      <c r="D7" s="9" t="s">
        <v>141</v>
      </c>
      <c r="E7" s="10">
        <f>RADIANS(B7)/3600/3</f>
        <v>2.4240684055476799E-6</v>
      </c>
    </row>
    <row r="8" spans="1:6" x14ac:dyDescent="0.25">
      <c r="A8" s="8" t="s">
        <v>142</v>
      </c>
      <c r="B8" s="20">
        <v>1.5</v>
      </c>
      <c r="C8" s="9" t="s">
        <v>140</v>
      </c>
      <c r="D8" s="9" t="s">
        <v>141</v>
      </c>
      <c r="E8" s="10">
        <f>RADIANS(B8)/3600/3</f>
        <v>2.4240684055476799E-6</v>
      </c>
    </row>
    <row r="9" spans="1:6" x14ac:dyDescent="0.25">
      <c r="A9" s="8" t="s">
        <v>143</v>
      </c>
      <c r="B9" s="20">
        <v>9</v>
      </c>
      <c r="C9" s="9" t="s">
        <v>140</v>
      </c>
      <c r="D9" s="9" t="s">
        <v>141</v>
      </c>
      <c r="E9" s="10">
        <f>RADIANS(B9)/3600/3</f>
        <v>1.4544410433286079E-5</v>
      </c>
    </row>
    <row r="10" spans="1:6" x14ac:dyDescent="0.25">
      <c r="A10" s="5" t="s">
        <v>144</v>
      </c>
      <c r="B10" s="23">
        <v>3</v>
      </c>
      <c r="C10" s="6" t="s">
        <v>145</v>
      </c>
      <c r="D10" s="6" t="s">
        <v>146</v>
      </c>
      <c r="E10" s="7">
        <f>B10/3</f>
        <v>1</v>
      </c>
    </row>
    <row r="11" spans="1:6" x14ac:dyDescent="0.25">
      <c r="A11" s="11" t="s">
        <v>147</v>
      </c>
      <c r="B11" s="24">
        <v>3</v>
      </c>
      <c r="C11" s="12" t="s">
        <v>145</v>
      </c>
      <c r="D11" s="12" t="s">
        <v>148</v>
      </c>
      <c r="E11" s="13">
        <f>B11/3</f>
        <v>1</v>
      </c>
    </row>
    <row r="12" spans="1:6" x14ac:dyDescent="0.25">
      <c r="A12" s="8" t="s">
        <v>149</v>
      </c>
      <c r="B12" s="25">
        <v>10</v>
      </c>
      <c r="C12" s="9" t="s">
        <v>150</v>
      </c>
      <c r="D12" s="9" t="s">
        <v>151</v>
      </c>
      <c r="E12" s="21">
        <f>B12/3</f>
        <v>3.3333333333333335</v>
      </c>
    </row>
    <row r="13" spans="1:6" x14ac:dyDescent="0.25">
      <c r="A13" s="8" t="s">
        <v>152</v>
      </c>
      <c r="B13" s="25">
        <v>100</v>
      </c>
      <c r="C13" s="9" t="s">
        <v>150</v>
      </c>
      <c r="D13" s="9" t="s">
        <v>153</v>
      </c>
      <c r="E13" s="21">
        <f>B13/3</f>
        <v>33.333333333333336</v>
      </c>
    </row>
    <row r="14" spans="1:6" x14ac:dyDescent="0.25">
      <c r="A14" s="8" t="s">
        <v>154</v>
      </c>
      <c r="B14" s="25">
        <v>10</v>
      </c>
      <c r="C14" s="9" t="s">
        <v>150</v>
      </c>
      <c r="D14" s="9" t="s">
        <v>155</v>
      </c>
      <c r="E14" s="21">
        <f>B14/3</f>
        <v>3.3333333333333335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9"/>
  <sheetViews>
    <sheetView zoomScaleNormal="100" workbookViewId="0">
      <selection activeCell="B19" sqref="B19"/>
    </sheetView>
  </sheetViews>
  <sheetFormatPr defaultRowHeight="15" x14ac:dyDescent="0.25"/>
  <cols>
    <col min="1" max="1" width="9.28515625" style="9"/>
    <col min="2" max="3" width="7" style="9"/>
    <col min="4" max="4" width="53.85546875" style="9"/>
    <col min="5" max="5" width="15.28515625" style="14"/>
    <col min="6" max="6" width="18.140625" style="9"/>
    <col min="7" max="1025" width="9.140625" style="9"/>
  </cols>
  <sheetData>
    <row r="1" spans="1:5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spans="1:5" ht="15" customHeight="1" x14ac:dyDescent="0.25">
      <c r="A2" s="5" t="s">
        <v>156</v>
      </c>
      <c r="B2" s="6">
        <v>4000</v>
      </c>
      <c r="C2" s="6" t="s">
        <v>150</v>
      </c>
      <c r="D2" s="6" t="s">
        <v>157</v>
      </c>
      <c r="E2" s="7">
        <f t="shared" ref="E2:E10" si="0">B2/3</f>
        <v>1333.3333333333333</v>
      </c>
    </row>
    <row r="3" spans="1:5" x14ac:dyDescent="0.25">
      <c r="A3" s="8" t="s">
        <v>158</v>
      </c>
      <c r="B3" s="9">
        <v>4000</v>
      </c>
      <c r="C3" s="9" t="s">
        <v>150</v>
      </c>
      <c r="D3" s="9" t="s">
        <v>157</v>
      </c>
      <c r="E3" s="10">
        <f t="shared" si="0"/>
        <v>1333.3333333333333</v>
      </c>
    </row>
    <row r="4" spans="1:5" x14ac:dyDescent="0.25">
      <c r="A4" s="8" t="s">
        <v>159</v>
      </c>
      <c r="B4" s="9">
        <v>4000</v>
      </c>
      <c r="C4" s="9" t="s">
        <v>150</v>
      </c>
      <c r="D4" s="9" t="s">
        <v>157</v>
      </c>
      <c r="E4" s="10">
        <f t="shared" si="0"/>
        <v>1333.3333333333333</v>
      </c>
    </row>
    <row r="5" spans="1:5" x14ac:dyDescent="0.25">
      <c r="A5" s="8" t="s">
        <v>160</v>
      </c>
      <c r="B5" s="9">
        <v>3</v>
      </c>
      <c r="C5" s="9" t="s">
        <v>161</v>
      </c>
      <c r="D5" s="9" t="s">
        <v>162</v>
      </c>
      <c r="E5" s="10">
        <f t="shared" si="0"/>
        <v>1</v>
      </c>
    </row>
    <row r="6" spans="1:5" x14ac:dyDescent="0.25">
      <c r="A6" s="8" t="s">
        <v>163</v>
      </c>
      <c r="B6" s="9">
        <v>3</v>
      </c>
      <c r="C6" s="9" t="s">
        <v>161</v>
      </c>
      <c r="D6" s="9" t="s">
        <v>162</v>
      </c>
      <c r="E6" s="10">
        <f t="shared" si="0"/>
        <v>1</v>
      </c>
    </row>
    <row r="7" spans="1:5" x14ac:dyDescent="0.25">
      <c r="A7" s="8" t="s">
        <v>164</v>
      </c>
      <c r="B7" s="9">
        <v>3</v>
      </c>
      <c r="C7" s="9" t="s">
        <v>161</v>
      </c>
      <c r="D7" s="9" t="s">
        <v>162</v>
      </c>
      <c r="E7" s="10">
        <f t="shared" si="0"/>
        <v>1</v>
      </c>
    </row>
    <row r="8" spans="1:5" x14ac:dyDescent="0.25">
      <c r="A8" s="8" t="s">
        <v>165</v>
      </c>
      <c r="B8" s="9">
        <v>5.0000000000000001E-4</v>
      </c>
      <c r="C8" s="9" t="s">
        <v>166</v>
      </c>
      <c r="D8" s="9" t="s">
        <v>167</v>
      </c>
      <c r="E8" s="10">
        <f t="shared" si="0"/>
        <v>1.6666666666666666E-4</v>
      </c>
    </row>
    <row r="9" spans="1:5" x14ac:dyDescent="0.25">
      <c r="A9" s="8" t="s">
        <v>168</v>
      </c>
      <c r="B9" s="9">
        <v>5.0000000000000001E-4</v>
      </c>
      <c r="C9" s="9" t="s">
        <v>166</v>
      </c>
      <c r="D9" s="9" t="s">
        <v>167</v>
      </c>
      <c r="E9" s="10">
        <f t="shared" si="0"/>
        <v>1.6666666666666666E-4</v>
      </c>
    </row>
    <row r="10" spans="1:5" x14ac:dyDescent="0.25">
      <c r="A10" s="8" t="s">
        <v>169</v>
      </c>
      <c r="B10" s="9">
        <v>5.0000000000000001E-4</v>
      </c>
      <c r="C10" s="9" t="s">
        <v>166</v>
      </c>
      <c r="D10" s="9" t="s">
        <v>167</v>
      </c>
      <c r="E10" s="10">
        <f t="shared" si="0"/>
        <v>1.6666666666666666E-4</v>
      </c>
    </row>
    <row r="11" spans="1:5" x14ac:dyDescent="0.25">
      <c r="A11" s="8" t="s">
        <v>170</v>
      </c>
      <c r="B11" s="9">
        <f>truthStateParams!$B$5</f>
        <v>20</v>
      </c>
      <c r="C11" s="9" t="s">
        <v>140</v>
      </c>
      <c r="D11" s="9" t="s">
        <v>171</v>
      </c>
      <c r="E11" s="10">
        <f t="shared" ref="E11:E16" si="1">RADIANS(B11)/3600/3</f>
        <v>3.2320912073969067E-5</v>
      </c>
    </row>
    <row r="12" spans="1:5" x14ac:dyDescent="0.25">
      <c r="A12" s="8" t="s">
        <v>172</v>
      </c>
      <c r="B12" s="9">
        <f>truthStateParams!$B$5</f>
        <v>20</v>
      </c>
      <c r="C12" s="9" t="s">
        <v>140</v>
      </c>
      <c r="D12" s="9" t="s">
        <v>171</v>
      </c>
      <c r="E12" s="10">
        <f t="shared" si="1"/>
        <v>3.2320912073969067E-5</v>
      </c>
    </row>
    <row r="13" spans="1:5" x14ac:dyDescent="0.25">
      <c r="A13" s="8" t="s">
        <v>173</v>
      </c>
      <c r="B13" s="9">
        <f>truthStateParams!$B$5</f>
        <v>20</v>
      </c>
      <c r="C13" s="9" t="s">
        <v>140</v>
      </c>
      <c r="D13" s="9" t="s">
        <v>171</v>
      </c>
      <c r="E13" s="10">
        <f t="shared" si="1"/>
        <v>3.2320912073969067E-5</v>
      </c>
    </row>
    <row r="14" spans="1:5" x14ac:dyDescent="0.25">
      <c r="A14" s="8" t="s">
        <v>174</v>
      </c>
      <c r="B14" s="9">
        <f>truthStateParams!$B$6</f>
        <v>20</v>
      </c>
      <c r="C14" s="9" t="s">
        <v>140</v>
      </c>
      <c r="D14" s="9" t="s">
        <v>175</v>
      </c>
      <c r="E14" s="10">
        <f t="shared" si="1"/>
        <v>3.2320912073969067E-5</v>
      </c>
    </row>
    <row r="15" spans="1:5" x14ac:dyDescent="0.25">
      <c r="A15" s="8" t="s">
        <v>176</v>
      </c>
      <c r="B15" s="9">
        <f>truthStateParams!$B$6</f>
        <v>20</v>
      </c>
      <c r="C15" s="9" t="s">
        <v>140</v>
      </c>
      <c r="D15" s="9" t="s">
        <v>175</v>
      </c>
      <c r="E15" s="10">
        <f t="shared" si="1"/>
        <v>3.2320912073969067E-5</v>
      </c>
    </row>
    <row r="16" spans="1:5" x14ac:dyDescent="0.25">
      <c r="A16" s="9" t="s">
        <v>177</v>
      </c>
      <c r="B16" s="9">
        <f>truthStateParams!$B$6</f>
        <v>20</v>
      </c>
      <c r="C16" s="9" t="s">
        <v>140</v>
      </c>
      <c r="D16" s="9" t="s">
        <v>175</v>
      </c>
      <c r="E16" s="10">
        <f t="shared" si="1"/>
        <v>3.2320912073969067E-5</v>
      </c>
    </row>
    <row r="17" spans="1:5" x14ac:dyDescent="0.25">
      <c r="A17" s="8" t="s">
        <v>178</v>
      </c>
      <c r="B17" s="9">
        <f>truthStateParams!$B$3</f>
        <v>5</v>
      </c>
      <c r="C17" s="19" t="s">
        <v>129</v>
      </c>
      <c r="D17" s="9" t="s">
        <v>179</v>
      </c>
      <c r="E17" s="10">
        <f>RADIANS(B17)/hr2sec/3</f>
        <v>8.0802280184922667E-6</v>
      </c>
    </row>
    <row r="18" spans="1:5" x14ac:dyDescent="0.25">
      <c r="A18" s="8" t="s">
        <v>180</v>
      </c>
      <c r="B18" s="9">
        <f>truthStateParams!$B$3</f>
        <v>5</v>
      </c>
      <c r="C18" s="19" t="s">
        <v>129</v>
      </c>
      <c r="D18" s="9" t="s">
        <v>179</v>
      </c>
      <c r="E18" s="10">
        <f>RADIANS(B18)/hr2sec/3</f>
        <v>8.0802280184922667E-6</v>
      </c>
    </row>
    <row r="19" spans="1:5" x14ac:dyDescent="0.25">
      <c r="A19" s="11" t="s">
        <v>181</v>
      </c>
      <c r="B19" s="12">
        <f>truthStateParams!$B$3</f>
        <v>5</v>
      </c>
      <c r="C19" s="26" t="s">
        <v>129</v>
      </c>
      <c r="D19" s="12" t="s">
        <v>179</v>
      </c>
      <c r="E19" s="13">
        <f>RADIANS(B19)/hr2sec/3</f>
        <v>8.0802280184922667E-6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zoomScaleNormal="100" workbookViewId="0"/>
  </sheetViews>
  <sheetFormatPr defaultRowHeight="15" x14ac:dyDescent="0.25"/>
  <cols>
    <col min="1" max="1" width="13.28515625" style="9"/>
    <col min="2" max="2" width="11.5703125" style="14"/>
    <col min="3" max="3" width="12.5703125" style="9"/>
    <col min="4" max="4" width="49" style="9"/>
    <col min="5" max="5" width="15.140625" style="14"/>
    <col min="6" max="6" width="25.85546875" style="9"/>
    <col min="7" max="1025" width="9.140625" style="9"/>
  </cols>
  <sheetData>
    <row r="1" spans="1:6" x14ac:dyDescent="0.25">
      <c r="A1" s="15" t="s">
        <v>0</v>
      </c>
      <c r="B1" s="16" t="s">
        <v>1</v>
      </c>
      <c r="C1" s="17" t="s">
        <v>2</v>
      </c>
      <c r="D1" s="17" t="s">
        <v>3</v>
      </c>
      <c r="E1" s="18" t="s">
        <v>4</v>
      </c>
      <c r="F1"/>
    </row>
    <row r="2" spans="1:6" x14ac:dyDescent="0.25">
      <c r="A2" s="8" t="str">
        <f>truthStateParams!A2</f>
        <v>Q_grav</v>
      </c>
      <c r="B2" s="19">
        <f>truthStateParams!B2</f>
        <v>4.8000000000000006E-7</v>
      </c>
      <c r="C2" s="9" t="str">
        <f>truthStateParams!C2</f>
        <v>m^2/s^3</v>
      </c>
      <c r="D2" s="9" t="str">
        <f>truthStateParams!D2</f>
        <v>3-sigma non-gravitational process noise</v>
      </c>
      <c r="E2" s="10">
        <f>B2/3</f>
        <v>1.6000000000000003E-7</v>
      </c>
      <c r="F2" s="27"/>
    </row>
    <row r="3" spans="1:6" x14ac:dyDescent="0.25">
      <c r="A3" s="8" t="str">
        <f>truthStateParams!A3</f>
        <v>sig_gyro_ss</v>
      </c>
      <c r="B3" s="20">
        <f>truthStateParams!B3</f>
        <v>5</v>
      </c>
      <c r="C3" s="19" t="str">
        <f>truthStateParams!C3</f>
        <v>deg/hr</v>
      </c>
      <c r="D3" s="9" t="str">
        <f>truthStateParams!D3</f>
        <v>3-sigma steady-state gyro bias</v>
      </c>
      <c r="E3" s="10">
        <f>RADIANS(B3)/hr2sec/3</f>
        <v>8.0802280184922667E-6</v>
      </c>
      <c r="F3" s="27"/>
    </row>
    <row r="4" spans="1:6" x14ac:dyDescent="0.25">
      <c r="A4" s="11" t="str">
        <f>truthStateParams!A4</f>
        <v>arw</v>
      </c>
      <c r="B4" s="22">
        <f>truthStateParams!B4</f>
        <v>0.05</v>
      </c>
      <c r="C4" s="12" t="str">
        <f>truthStateParams!C4</f>
        <v>deg/sqrt(hr)</v>
      </c>
      <c r="D4" s="12" t="str">
        <f>truthStateParams!D4</f>
        <v>3-sigma angular random walk</v>
      </c>
      <c r="E4" s="13">
        <f>RADIANS(B4)/SQRT(hr2sec)/3</f>
        <v>4.8481368110953598E-6</v>
      </c>
      <c r="F4" s="27"/>
    </row>
    <row r="5" spans="1:6" x14ac:dyDescent="0.25">
      <c r="A5" s="8" t="str">
        <f>truthStateParams!A5</f>
        <v>sig_st_ss</v>
      </c>
      <c r="B5" s="20">
        <f>truthStateParams!B5</f>
        <v>20</v>
      </c>
      <c r="C5" s="9" t="str">
        <f>truthStateParams!C5</f>
        <v>arcsec/axis</v>
      </c>
      <c r="D5" s="9" t="str">
        <f>truthStateParams!D5</f>
        <v>3-sigma steady-state star camera misalignment</v>
      </c>
      <c r="E5" s="10">
        <f>RADIANS(B5)/3600/3</f>
        <v>3.2320912073969067E-5</v>
      </c>
      <c r="F5" s="27"/>
    </row>
    <row r="6" spans="1:6" x14ac:dyDescent="0.25">
      <c r="A6" s="8" t="str">
        <f>truthStateParams!A6</f>
        <v>sig_c_ss</v>
      </c>
      <c r="B6" s="20">
        <f>truthStateParams!B6</f>
        <v>20</v>
      </c>
      <c r="C6" s="9" t="str">
        <f>truthStateParams!C6</f>
        <v>arcsec/axis</v>
      </c>
      <c r="D6" s="9" t="str">
        <f>truthStateParams!D6</f>
        <v>3-sigma steady-state terrain camera misalignment</v>
      </c>
      <c r="E6" s="10">
        <f>RADIANS(B6)/3600/3</f>
        <v>3.2320912073969067E-5</v>
      </c>
    </row>
    <row r="7" spans="1:6" x14ac:dyDescent="0.25">
      <c r="A7" s="8" t="str">
        <f>truthStateParams!A7</f>
        <v>sig_meas_stx</v>
      </c>
      <c r="B7" s="20">
        <f>truthStateParams!B7</f>
        <v>1.5</v>
      </c>
      <c r="C7" s="9" t="str">
        <f>truthStateParams!C7</f>
        <v>arcsec</v>
      </c>
      <c r="D7" s="9" t="str">
        <f>truthStateParams!D7</f>
        <v>3-sigma star camera measurement uncertainty</v>
      </c>
      <c r="E7" s="10">
        <f>RADIANS(B7)/3600/3</f>
        <v>2.4240684055476799E-6</v>
      </c>
    </row>
    <row r="8" spans="1:6" x14ac:dyDescent="0.25">
      <c r="A8" s="8" t="str">
        <f>truthStateParams!A8</f>
        <v>sig_meas_sty</v>
      </c>
      <c r="B8" s="20">
        <f>truthStateParams!B8</f>
        <v>1.5</v>
      </c>
      <c r="C8" s="9" t="str">
        <f>truthStateParams!C8</f>
        <v>arcsec</v>
      </c>
      <c r="D8" s="9" t="str">
        <f>truthStateParams!D8</f>
        <v>3-sigma star camera measurement uncertainty</v>
      </c>
      <c r="E8" s="10">
        <f>RADIANS(B8)/3600/3</f>
        <v>2.4240684055476799E-6</v>
      </c>
    </row>
    <row r="9" spans="1:6" x14ac:dyDescent="0.25">
      <c r="A9" s="8" t="str">
        <f>truthStateParams!A9</f>
        <v>sig_meas_stz</v>
      </c>
      <c r="B9" s="20">
        <f>truthStateParams!B9</f>
        <v>9</v>
      </c>
      <c r="C9" s="9" t="str">
        <f>truthStateParams!C9</f>
        <v>arcsec</v>
      </c>
      <c r="D9" s="9" t="str">
        <f>truthStateParams!D9</f>
        <v>3-sigma star camera measurement uncertainty</v>
      </c>
      <c r="E9" s="10">
        <f>RADIANS(B9)/3600/3</f>
        <v>1.4544410433286079E-5</v>
      </c>
    </row>
    <row r="10" spans="1:6" x14ac:dyDescent="0.25">
      <c r="A10" s="5" t="str">
        <f>truthStateParams!A10</f>
        <v>sig_cu</v>
      </c>
      <c r="B10" s="23">
        <f>truthStateParams!B10</f>
        <v>3</v>
      </c>
      <c r="C10" s="6" t="str">
        <f>truthStateParams!C10</f>
        <v>pixels</v>
      </c>
      <c r="D10" s="6" t="str">
        <f>truthStateParams!D10</f>
        <v>3-sigma u component of pixel noise</v>
      </c>
      <c r="E10" s="7">
        <f>B10/3</f>
        <v>1</v>
      </c>
    </row>
    <row r="11" spans="1:6" x14ac:dyDescent="0.25">
      <c r="A11" s="11" t="str">
        <f>truthStateParams!A11</f>
        <v>sig_cv</v>
      </c>
      <c r="B11" s="24">
        <f>truthStateParams!B11</f>
        <v>3</v>
      </c>
      <c r="C11" s="12" t="str">
        <f>truthStateParams!C11</f>
        <v>pixels</v>
      </c>
      <c r="D11" s="12" t="str">
        <f>truthStateParams!D11</f>
        <v>3-sigma v component of pixel noise</v>
      </c>
      <c r="E11" s="13">
        <f>B11/3</f>
        <v>1</v>
      </c>
    </row>
    <row r="12" spans="1:6" x14ac:dyDescent="0.25">
      <c r="A12" s="11" t="str">
        <f>truthStateParams!A12</f>
        <v>sig_idpos</v>
      </c>
      <c r="B12" s="24">
        <f>truthStateParams!B12</f>
        <v>10</v>
      </c>
      <c r="C12" s="12" t="str">
        <f>truthStateParams!C12</f>
        <v>m</v>
      </c>
      <c r="D12" s="12" t="str">
        <f>truthStateParams!D12</f>
        <v>3-sigma change in inertial position measurement uncertainty</v>
      </c>
      <c r="E12" s="13">
        <f>B12/3</f>
        <v>3.3333333333333335</v>
      </c>
    </row>
    <row r="13" spans="1:6" x14ac:dyDescent="0.25">
      <c r="A13" s="11" t="str">
        <f>truthStateParams!A13</f>
        <v>sig_loss</v>
      </c>
      <c r="B13" s="24">
        <f>truthStateParams!B13</f>
        <v>100</v>
      </c>
      <c r="C13" s="12" t="str">
        <f>truthStateParams!C13</f>
        <v>m</v>
      </c>
      <c r="D13" s="12" t="str">
        <f>truthStateParams!D13</f>
        <v>3-sigma LOSS feature location uncertainty</v>
      </c>
      <c r="E13" s="13">
        <f>B13/3</f>
        <v>33.333333333333336</v>
      </c>
    </row>
    <row r="14" spans="1:6" x14ac:dyDescent="0.25">
      <c r="A14" s="11" t="str">
        <f>truthStateParams!A14</f>
        <v>sig_mdpos</v>
      </c>
      <c r="B14" s="24">
        <f>truthStateParams!B14</f>
        <v>10</v>
      </c>
      <c r="C14" s="12" t="str">
        <f>truthStateParams!C14</f>
        <v>m</v>
      </c>
      <c r="D14" s="12" t="str">
        <f>truthStateParams!D14</f>
        <v>3-sigma change in lunar-referenced position measurement uncertainty</v>
      </c>
      <c r="E14" s="13">
        <f>B14/3</f>
        <v>3.3333333333333335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9"/>
  <sheetViews>
    <sheetView zoomScaleNormal="100" workbookViewId="0">
      <selection activeCell="B19" sqref="B19"/>
    </sheetView>
  </sheetViews>
  <sheetFormatPr defaultRowHeight="15" x14ac:dyDescent="0.25"/>
  <cols>
    <col min="1" max="1" width="9.28515625" style="9"/>
    <col min="2" max="3" width="7" style="9"/>
    <col min="4" max="4" width="53.85546875" style="9"/>
    <col min="5" max="5" width="13.85546875" style="14"/>
    <col min="6" max="6" width="15.140625" style="9"/>
    <col min="7" max="1025" width="9.140625" style="9"/>
  </cols>
  <sheetData>
    <row r="1" spans="1:6" x14ac:dyDescent="0.25">
      <c r="A1" s="15" t="s">
        <v>0</v>
      </c>
      <c r="B1" s="28" t="s">
        <v>1</v>
      </c>
      <c r="C1" s="17" t="s">
        <v>2</v>
      </c>
      <c r="D1" s="17" t="s">
        <v>3</v>
      </c>
      <c r="E1" s="4" t="s">
        <v>4</v>
      </c>
      <c r="F1"/>
    </row>
    <row r="2" spans="1:6" ht="15" customHeight="1" x14ac:dyDescent="0.25">
      <c r="A2" s="8" t="str">
        <f>truthStateInitialUncertainty!A2</f>
        <v>sig_rsx</v>
      </c>
      <c r="B2" s="9">
        <f>truthStateInitialUncertainty!B2</f>
        <v>4000</v>
      </c>
      <c r="C2" s="9" t="str">
        <f>truthStateInitialUncertainty!C2</f>
        <v>m</v>
      </c>
      <c r="D2" s="9" t="str">
        <f>truthStateInitialUncertainty!D2</f>
        <v>3-sigma initial satellite position uncertainty</v>
      </c>
      <c r="E2" s="29">
        <f t="shared" ref="E2:E10" si="0">B2/3</f>
        <v>1333.3333333333333</v>
      </c>
      <c r="F2" s="27"/>
    </row>
    <row r="3" spans="1:6" x14ac:dyDescent="0.25">
      <c r="A3" s="8" t="str">
        <f>truthStateInitialUncertainty!A3</f>
        <v>sig_rsy</v>
      </c>
      <c r="B3" s="9">
        <f>truthStateInitialUncertainty!B3</f>
        <v>4000</v>
      </c>
      <c r="C3" s="9" t="str">
        <f>truthStateInitialUncertainty!C3</f>
        <v>m</v>
      </c>
      <c r="D3" s="9" t="str">
        <f>truthStateInitialUncertainty!D3</f>
        <v>3-sigma initial satellite position uncertainty</v>
      </c>
      <c r="E3" s="29">
        <f t="shared" si="0"/>
        <v>1333.3333333333333</v>
      </c>
      <c r="F3" s="27"/>
    </row>
    <row r="4" spans="1:6" x14ac:dyDescent="0.25">
      <c r="A4" s="8" t="str">
        <f>truthStateInitialUncertainty!A4</f>
        <v>sig_rsz</v>
      </c>
      <c r="B4" s="9">
        <f>truthStateInitialUncertainty!B4</f>
        <v>4000</v>
      </c>
      <c r="C4" s="9" t="str">
        <f>truthStateInitialUncertainty!C4</f>
        <v>m</v>
      </c>
      <c r="D4" s="9" t="str">
        <f>truthStateInitialUncertainty!D4</f>
        <v>3-sigma initial satellite position uncertainty</v>
      </c>
      <c r="E4" s="29">
        <f t="shared" si="0"/>
        <v>1333.3333333333333</v>
      </c>
      <c r="F4" s="27"/>
    </row>
    <row r="5" spans="1:6" x14ac:dyDescent="0.25">
      <c r="A5" s="8" t="str">
        <f>truthStateInitialUncertainty!A5</f>
        <v>sig_vsx</v>
      </c>
      <c r="B5" s="9">
        <f>truthStateInitialUncertainty!B5</f>
        <v>3</v>
      </c>
      <c r="C5" s="9" t="str">
        <f>truthStateInitialUncertainty!C5</f>
        <v>m/sec</v>
      </c>
      <c r="D5" s="9" t="str">
        <f>truthStateInitialUncertainty!D5</f>
        <v>3-sigma initial satellite velocity uncertainty</v>
      </c>
      <c r="E5" s="29">
        <f t="shared" si="0"/>
        <v>1</v>
      </c>
      <c r="F5" s="27"/>
    </row>
    <row r="6" spans="1:6" x14ac:dyDescent="0.25">
      <c r="A6" s="8" t="str">
        <f>truthStateInitialUncertainty!A6</f>
        <v>sig_vsy</v>
      </c>
      <c r="B6" s="9">
        <f>truthStateInitialUncertainty!B6</f>
        <v>3</v>
      </c>
      <c r="C6" s="9" t="str">
        <f>truthStateInitialUncertainty!C6</f>
        <v>m/sec</v>
      </c>
      <c r="D6" s="9" t="str">
        <f>truthStateInitialUncertainty!D6</f>
        <v>3-sigma initial satellite velocity uncertainty</v>
      </c>
      <c r="E6" s="29">
        <f t="shared" si="0"/>
        <v>1</v>
      </c>
    </row>
    <row r="7" spans="1:6" x14ac:dyDescent="0.25">
      <c r="A7" s="8" t="str">
        <f>truthStateInitialUncertainty!A7</f>
        <v>sig_vsz</v>
      </c>
      <c r="B7" s="9">
        <f>truthStateInitialUncertainty!B7</f>
        <v>3</v>
      </c>
      <c r="C7" s="9" t="str">
        <f>truthStateInitialUncertainty!C7</f>
        <v>m/sec</v>
      </c>
      <c r="D7" s="9" t="str">
        <f>truthStateInitialUncertainty!D7</f>
        <v>3-sigma initial satellite velocity uncertainty</v>
      </c>
      <c r="E7" s="29">
        <f t="shared" si="0"/>
        <v>1</v>
      </c>
    </row>
    <row r="8" spans="1:6" x14ac:dyDescent="0.25">
      <c r="A8" s="8" t="str">
        <f>truthStateInitialUncertainty!A8</f>
        <v>sig_ax</v>
      </c>
      <c r="B8" s="9">
        <f>truthStateInitialUncertainty!B8</f>
        <v>5.0000000000000001E-4</v>
      </c>
      <c r="C8" s="9" t="str">
        <f>truthStateInitialUncertainty!C8</f>
        <v>rad</v>
      </c>
      <c r="D8" s="9" t="str">
        <f>truthStateInitialUncertainty!D8</f>
        <v>3-sigma initial satellite orientation uncertainty</v>
      </c>
      <c r="E8" s="29">
        <f t="shared" si="0"/>
        <v>1.6666666666666666E-4</v>
      </c>
    </row>
    <row r="9" spans="1:6" x14ac:dyDescent="0.25">
      <c r="A9" s="8" t="str">
        <f>truthStateInitialUncertainty!A9</f>
        <v>sig_ay</v>
      </c>
      <c r="B9" s="9">
        <f>truthStateInitialUncertainty!B9</f>
        <v>5.0000000000000001E-4</v>
      </c>
      <c r="C9" s="9" t="str">
        <f>truthStateInitialUncertainty!C9</f>
        <v>rad</v>
      </c>
      <c r="D9" s="9" t="str">
        <f>truthStateInitialUncertainty!D9</f>
        <v>3-sigma initial satellite orientation uncertainty</v>
      </c>
      <c r="E9" s="29">
        <f t="shared" si="0"/>
        <v>1.6666666666666666E-4</v>
      </c>
    </row>
    <row r="10" spans="1:6" x14ac:dyDescent="0.25">
      <c r="A10" s="8" t="str">
        <f>truthStateInitialUncertainty!A10</f>
        <v>sig_az</v>
      </c>
      <c r="B10" s="9">
        <f>truthStateInitialUncertainty!B10</f>
        <v>5.0000000000000001E-4</v>
      </c>
      <c r="C10" s="9" t="str">
        <f>truthStateInitialUncertainty!C10</f>
        <v>rad</v>
      </c>
      <c r="D10" s="9" t="str">
        <f>truthStateInitialUncertainty!D10</f>
        <v>3-sigma initial satellite orientation uncertainty</v>
      </c>
      <c r="E10" s="29">
        <f t="shared" si="0"/>
        <v>1.6666666666666666E-4</v>
      </c>
    </row>
    <row r="11" spans="1:6" x14ac:dyDescent="0.25">
      <c r="A11" s="8" t="str">
        <f>truthStateInitialUncertainty!A11</f>
        <v>sig_thstx</v>
      </c>
      <c r="B11" s="9">
        <f>truthStateInitialUncertainty!B11</f>
        <v>20</v>
      </c>
      <c r="C11" s="9" t="str">
        <f>truthStateInitialUncertainty!C11</f>
        <v>arcsec</v>
      </c>
      <c r="D11" s="9" t="str">
        <f>truthStateInitialUncertainty!D11</f>
        <v>3-sigma initial star camera misalignment uncertainty</v>
      </c>
      <c r="E11" s="29">
        <f t="shared" ref="E11:E16" si="1">RADIANS(B11)/3600/3</f>
        <v>3.2320912073969067E-5</v>
      </c>
    </row>
    <row r="12" spans="1:6" x14ac:dyDescent="0.25">
      <c r="A12" s="8" t="str">
        <f>truthStateInitialUncertainty!A12</f>
        <v>sig_thsty</v>
      </c>
      <c r="B12" s="9">
        <f>truthStateInitialUncertainty!B12</f>
        <v>20</v>
      </c>
      <c r="C12" s="9" t="str">
        <f>truthStateInitialUncertainty!C12</f>
        <v>arcsec</v>
      </c>
      <c r="D12" s="9" t="str">
        <f>truthStateInitialUncertainty!D12</f>
        <v>3-sigma initial star camera misalignment uncertainty</v>
      </c>
      <c r="E12" s="29">
        <f t="shared" si="1"/>
        <v>3.2320912073969067E-5</v>
      </c>
    </row>
    <row r="13" spans="1:6" x14ac:dyDescent="0.25">
      <c r="A13" s="8" t="str">
        <f>truthStateInitialUncertainty!A13</f>
        <v>sig_thstz</v>
      </c>
      <c r="B13" s="9">
        <f>truthStateInitialUncertainty!B13</f>
        <v>20</v>
      </c>
      <c r="C13" s="9" t="str">
        <f>truthStateInitialUncertainty!C13</f>
        <v>arcsec</v>
      </c>
      <c r="D13" s="9" t="str">
        <f>truthStateInitialUncertainty!D13</f>
        <v>3-sigma initial star camera misalignment uncertainty</v>
      </c>
      <c r="E13" s="29">
        <f t="shared" si="1"/>
        <v>3.2320912073969067E-5</v>
      </c>
    </row>
    <row r="14" spans="1:6" x14ac:dyDescent="0.25">
      <c r="A14" s="8" t="str">
        <f>truthStateInitialUncertainty!A14</f>
        <v>sig_thcx</v>
      </c>
      <c r="B14" s="9">
        <f>truthStateInitialUncertainty!B14</f>
        <v>20</v>
      </c>
      <c r="C14" s="9" t="str">
        <f>truthStateInitialUncertainty!C14</f>
        <v>arcsec</v>
      </c>
      <c r="D14" s="9" t="str">
        <f>truthStateInitialUncertainty!D14</f>
        <v>3-sigma initial terrain camera misalignment uncertainty</v>
      </c>
      <c r="E14" s="29">
        <f t="shared" si="1"/>
        <v>3.2320912073969067E-5</v>
      </c>
    </row>
    <row r="15" spans="1:6" x14ac:dyDescent="0.25">
      <c r="A15" s="8" t="str">
        <f>truthStateInitialUncertainty!A15</f>
        <v>sig_thcy</v>
      </c>
      <c r="B15" s="9">
        <f>truthStateInitialUncertainty!B15</f>
        <v>20</v>
      </c>
      <c r="C15" s="9" t="str">
        <f>truthStateInitialUncertainty!C15</f>
        <v>arcsec</v>
      </c>
      <c r="D15" s="9" t="str">
        <f>truthStateInitialUncertainty!D15</f>
        <v>3-sigma initial terrain camera misalignment uncertainty</v>
      </c>
      <c r="E15" s="29">
        <f t="shared" si="1"/>
        <v>3.2320912073969067E-5</v>
      </c>
    </row>
    <row r="16" spans="1:6" x14ac:dyDescent="0.25">
      <c r="A16" s="8" t="str">
        <f>truthStateInitialUncertainty!A16</f>
        <v>sig_thcz</v>
      </c>
      <c r="B16" s="9">
        <f>truthStateInitialUncertainty!B16</f>
        <v>20</v>
      </c>
      <c r="C16" s="9" t="str">
        <f>truthStateInitialUncertainty!C16</f>
        <v>arcsec</v>
      </c>
      <c r="D16" s="9" t="str">
        <f>truthStateInitialUncertainty!D16</f>
        <v>3-sigma initial terrain camera misalignment uncertainty</v>
      </c>
      <c r="E16" s="29">
        <f t="shared" si="1"/>
        <v>3.2320912073969067E-5</v>
      </c>
    </row>
    <row r="17" spans="1:5" x14ac:dyDescent="0.25">
      <c r="A17" s="8" t="str">
        <f>truthStateInitialUncertainty!A17</f>
        <v>sig_gyrox</v>
      </c>
      <c r="B17" s="9">
        <f>truthStateInitialUncertainty!B17</f>
        <v>5</v>
      </c>
      <c r="C17" s="9" t="str">
        <f>truthStateInitialUncertainty!C17</f>
        <v>deg/hr</v>
      </c>
      <c r="D17" s="9" t="str">
        <f>truthStateInitialUncertainty!D17</f>
        <v>3-sigma initial gyro bias uncertainty</v>
      </c>
      <c r="E17" s="29">
        <f>RADIANS(B17)/hr2sec/3</f>
        <v>8.0802280184922667E-6</v>
      </c>
    </row>
    <row r="18" spans="1:5" x14ac:dyDescent="0.25">
      <c r="A18" s="8" t="str">
        <f>truthStateInitialUncertainty!A18</f>
        <v>sig_gyroy</v>
      </c>
      <c r="B18" s="9">
        <f>truthStateInitialUncertainty!B18</f>
        <v>5</v>
      </c>
      <c r="C18" s="9" t="str">
        <f>truthStateInitialUncertainty!C18</f>
        <v>deg/hr</v>
      </c>
      <c r="D18" s="9" t="str">
        <f>truthStateInitialUncertainty!D18</f>
        <v>3-sigma initial gyro bias uncertainty</v>
      </c>
      <c r="E18" s="29">
        <f>RADIANS(B18)/hr2sec/3</f>
        <v>8.0802280184922667E-6</v>
      </c>
    </row>
    <row r="19" spans="1:5" x14ac:dyDescent="0.25">
      <c r="A19" s="11" t="str">
        <f>truthStateInitialUncertainty!A19</f>
        <v>sig_gyroz</v>
      </c>
      <c r="B19" s="12">
        <f>truthStateInitialUncertainty!B19</f>
        <v>5</v>
      </c>
      <c r="C19" s="12" t="str">
        <f>truthStateInitialUncertainty!C19</f>
        <v>deg/hr</v>
      </c>
      <c r="D19" s="12" t="str">
        <f>truthStateInitialUncertainty!D19</f>
        <v>3-sigma initial gyro bias uncertainty</v>
      </c>
      <c r="E19" s="30">
        <f>RADIANS(B19)/hr2sec/3</f>
        <v>8.0802280184922667E-6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Normal="100" workbookViewId="0">
      <selection activeCell="I20" sqref="I20"/>
    </sheetView>
  </sheetViews>
  <sheetFormatPr defaultRowHeight="15" x14ac:dyDescent="0.25"/>
  <cols>
    <col min="1" max="1" width="9.28515625"/>
    <col min="2" max="3" width="7"/>
    <col min="4" max="4" width="53.85546875"/>
    <col min="5" max="5" width="14.7109375" bestFit="1" customWidth="1"/>
    <col min="6" max="1025" width="8.5703125"/>
  </cols>
  <sheetData>
    <row r="1" spans="1:6" x14ac:dyDescent="0.25">
      <c r="A1" s="15" t="s">
        <v>0</v>
      </c>
      <c r="B1" s="28" t="s">
        <v>1</v>
      </c>
      <c r="C1" s="17" t="s">
        <v>2</v>
      </c>
      <c r="D1" s="17" t="s">
        <v>3</v>
      </c>
      <c r="E1" s="18" t="s">
        <v>4</v>
      </c>
    </row>
    <row r="2" spans="1:6" x14ac:dyDescent="0.25">
      <c r="A2" s="82" t="s">
        <v>37</v>
      </c>
      <c r="B2" s="83">
        <v>1.0999999999999999E-9</v>
      </c>
      <c r="C2" s="82" t="s">
        <v>38</v>
      </c>
      <c r="D2" s="82"/>
      <c r="E2" s="84">
        <f>B2</f>
        <v>1.0999999999999999E-9</v>
      </c>
    </row>
    <row r="3" spans="1:6" x14ac:dyDescent="0.25">
      <c r="A3" s="79" t="s">
        <v>46</v>
      </c>
      <c r="B3" s="80">
        <v>-2.4500000000000001E-8</v>
      </c>
      <c r="C3" s="79" t="s">
        <v>38</v>
      </c>
      <c r="D3" s="79"/>
      <c r="E3" s="81">
        <f t="shared" ref="E3:E8" si="0">B3</f>
        <v>-2.4500000000000001E-8</v>
      </c>
    </row>
    <row r="4" spans="1:6" x14ac:dyDescent="0.25">
      <c r="A4" s="79" t="s">
        <v>53</v>
      </c>
      <c r="B4" s="80">
        <v>5.4000000000000004E-9</v>
      </c>
      <c r="C4" s="79" t="s">
        <v>38</v>
      </c>
      <c r="D4" s="79"/>
      <c r="E4" s="81">
        <f t="shared" si="0"/>
        <v>5.4000000000000004E-9</v>
      </c>
    </row>
    <row r="5" spans="1:6" x14ac:dyDescent="0.25">
      <c r="A5" s="79" t="s">
        <v>60</v>
      </c>
      <c r="B5" s="80">
        <v>0</v>
      </c>
      <c r="C5" s="79" t="s">
        <v>38</v>
      </c>
      <c r="D5" s="79"/>
      <c r="E5" s="81">
        <f t="shared" si="0"/>
        <v>0</v>
      </c>
    </row>
    <row r="6" spans="1:6" x14ac:dyDescent="0.25">
      <c r="A6" s="79" t="s">
        <v>67</v>
      </c>
      <c r="B6" s="80">
        <v>0</v>
      </c>
      <c r="C6" s="79" t="s">
        <v>38</v>
      </c>
      <c r="D6" s="79"/>
      <c r="E6" s="81">
        <f t="shared" si="0"/>
        <v>0</v>
      </c>
    </row>
    <row r="7" spans="1:6" x14ac:dyDescent="0.25">
      <c r="A7" s="79" t="s">
        <v>74</v>
      </c>
      <c r="B7" s="80">
        <v>0</v>
      </c>
      <c r="C7" s="79" t="s">
        <v>38</v>
      </c>
      <c r="D7" s="79"/>
      <c r="E7" s="81">
        <f t="shared" si="0"/>
        <v>0</v>
      </c>
    </row>
    <row r="8" spans="1:6" x14ac:dyDescent="0.25">
      <c r="A8" s="79" t="s">
        <v>81</v>
      </c>
      <c r="B8" s="80">
        <v>0</v>
      </c>
      <c r="C8" s="79" t="s">
        <v>38</v>
      </c>
      <c r="D8" s="79"/>
      <c r="E8" s="81">
        <f t="shared" si="0"/>
        <v>0</v>
      </c>
    </row>
    <row r="9" spans="1:6" x14ac:dyDescent="0.25">
      <c r="A9" s="9" t="s">
        <v>82</v>
      </c>
      <c r="B9" s="9">
        <v>25</v>
      </c>
      <c r="C9" s="9" t="s">
        <v>24</v>
      </c>
      <c r="D9" s="9"/>
      <c r="E9" s="29">
        <f t="shared" ref="E9:E14" si="1">B9*1000</f>
        <v>25000</v>
      </c>
      <c r="F9" s="9"/>
    </row>
    <row r="10" spans="1:6" x14ac:dyDescent="0.25">
      <c r="A10" s="9" t="s">
        <v>84</v>
      </c>
      <c r="B10" s="9">
        <v>47</v>
      </c>
      <c r="C10" s="9" t="s">
        <v>24</v>
      </c>
      <c r="D10" s="9"/>
      <c r="E10" s="29">
        <f t="shared" si="1"/>
        <v>47000</v>
      </c>
      <c r="F10" s="9"/>
    </row>
    <row r="11" spans="1:6" x14ac:dyDescent="0.25">
      <c r="A11" s="9" t="s">
        <v>86</v>
      </c>
      <c r="B11" s="9">
        <v>-32</v>
      </c>
      <c r="C11" s="9" t="s">
        <v>24</v>
      </c>
      <c r="D11" s="9"/>
      <c r="E11" s="29">
        <f t="shared" si="1"/>
        <v>-32000</v>
      </c>
      <c r="F11" s="9"/>
    </row>
    <row r="12" spans="1:6" x14ac:dyDescent="0.25">
      <c r="A12" s="9" t="s">
        <v>88</v>
      </c>
      <c r="B12" s="9">
        <v>16</v>
      </c>
      <c r="C12" s="9" t="s">
        <v>31</v>
      </c>
      <c r="D12" s="9"/>
      <c r="E12" s="29">
        <f t="shared" si="1"/>
        <v>16000</v>
      </c>
      <c r="F12" s="9"/>
    </row>
    <row r="13" spans="1:6" x14ac:dyDescent="0.25">
      <c r="A13" s="9" t="s">
        <v>90</v>
      </c>
      <c r="B13" s="9">
        <v>-29</v>
      </c>
      <c r="C13" s="9" t="s">
        <v>31</v>
      </c>
      <c r="D13" s="9"/>
      <c r="E13" s="29">
        <f t="shared" si="1"/>
        <v>-29000</v>
      </c>
      <c r="F13" s="9"/>
    </row>
    <row r="14" spans="1:6" x14ac:dyDescent="0.25">
      <c r="A14" s="9" t="s">
        <v>92</v>
      </c>
      <c r="B14" s="9">
        <v>13</v>
      </c>
      <c r="C14" s="9" t="s">
        <v>31</v>
      </c>
      <c r="D14" s="9"/>
      <c r="E14" s="29">
        <f t="shared" si="1"/>
        <v>13000</v>
      </c>
      <c r="F14" s="9"/>
    </row>
    <row r="15" spans="1:6" x14ac:dyDescent="0.25">
      <c r="A15" s="9" t="s">
        <v>94</v>
      </c>
      <c r="B15" s="9">
        <v>0.01</v>
      </c>
      <c r="C15" s="9" t="s">
        <v>95</v>
      </c>
      <c r="D15" s="9"/>
      <c r="E15" s="29">
        <f>B15</f>
        <v>0.01</v>
      </c>
      <c r="F15" s="9"/>
    </row>
    <row r="16" spans="1:6" x14ac:dyDescent="0.25">
      <c r="A16" s="9" t="s">
        <v>97</v>
      </c>
      <c r="B16" s="9">
        <v>-0.01</v>
      </c>
      <c r="C16" s="9" t="s">
        <v>95</v>
      </c>
      <c r="D16" s="9"/>
      <c r="E16" s="29">
        <f>B16</f>
        <v>-0.01</v>
      </c>
      <c r="F16" s="9"/>
    </row>
    <row r="17" spans="1:6" x14ac:dyDescent="0.25">
      <c r="A17" s="12" t="s">
        <v>99</v>
      </c>
      <c r="B17" s="12">
        <v>-0.01</v>
      </c>
      <c r="C17" s="12" t="s">
        <v>95</v>
      </c>
      <c r="D17" s="12"/>
      <c r="E17" s="30">
        <f>B17</f>
        <v>-0.01</v>
      </c>
      <c r="F17" s="9"/>
    </row>
    <row r="18" spans="1:6" x14ac:dyDescent="0.25">
      <c r="A18" s="9"/>
      <c r="B18" s="9"/>
      <c r="C18" s="9"/>
      <c r="D18" s="9"/>
      <c r="E18" s="14"/>
      <c r="F18" s="9"/>
    </row>
    <row r="19" spans="1:6" x14ac:dyDescent="0.25">
      <c r="A19" s="9"/>
      <c r="B19" s="9"/>
      <c r="C19" s="9"/>
      <c r="D19" s="9"/>
      <c r="E19" s="14"/>
      <c r="F19" s="9"/>
    </row>
    <row r="20" spans="1:6" x14ac:dyDescent="0.25">
      <c r="A20" s="9"/>
      <c r="B20" s="9"/>
      <c r="C20" s="9"/>
      <c r="D20" s="9"/>
      <c r="E20" s="14"/>
      <c r="F20" s="9"/>
    </row>
    <row r="21" spans="1:6" x14ac:dyDescent="0.25">
      <c r="A21" s="9"/>
      <c r="B21" s="9"/>
      <c r="C21" s="9"/>
      <c r="D21" s="9"/>
      <c r="E21" s="14"/>
      <c r="F21" s="9"/>
    </row>
    <row r="22" spans="1:6" x14ac:dyDescent="0.25">
      <c r="A22" s="9"/>
      <c r="B22" s="9"/>
      <c r="C22" s="9"/>
      <c r="D22" s="9"/>
      <c r="E22" s="14"/>
      <c r="F22" s="9"/>
    </row>
    <row r="23" spans="1:6" x14ac:dyDescent="0.25">
      <c r="A23" s="9"/>
      <c r="B23" s="9"/>
      <c r="C23" s="9"/>
      <c r="D23" s="9"/>
      <c r="E23" s="14"/>
      <c r="F23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general</vt:lpstr>
      <vt:lpstr>initialConditions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errorInjection</vt:lpstr>
      <vt:lpstr>Constants</vt:lpstr>
      <vt:lpstr>days2hrs</vt:lpstr>
      <vt:lpstr>g2mps2</vt:lpstr>
      <vt:lpstr>hr2min</vt:lpstr>
      <vt:lpstr>hr2sec</vt:lpstr>
      <vt:lpstr>min2sec</vt:lpstr>
      <vt:lpstr>Na</vt:lpstr>
    </vt:vector>
  </TitlesOfParts>
  <Company>Space Dynamics Lab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Christensen</dc:creator>
  <dc:description/>
  <cp:lastModifiedBy>Zach</cp:lastModifiedBy>
  <cp:revision>13</cp:revision>
  <dcterms:created xsi:type="dcterms:W3CDTF">2010-12-01T20:08:29Z</dcterms:created>
  <dcterms:modified xsi:type="dcterms:W3CDTF">2020-10-29T07:11:59Z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