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ocuments\OptimalEstimation\Montgomery_SpaceDomainAwareness\"/>
    </mc:Choice>
  </mc:AlternateContent>
  <xr:revisionPtr revIDLastSave="0" documentId="13_ncr:1_{3C66AC11-9E21-4F19-972C-FA5370C30630}" xr6:coauthVersionLast="45" xr6:coauthVersionMax="45" xr10:uidLastSave="{00000000-0000-0000-0000-000000000000}"/>
  <bookViews>
    <workbookView xWindow="-98" yWindow="-98" windowWidth="22695" windowHeight="14595" tabRatio="987" xr2:uid="{00000000-000D-0000-FFFF-FFFF00000000}"/>
  </bookViews>
  <sheets>
    <sheet name="general" sheetId="1" r:id="rId1"/>
    <sheet name="initialConditions" sheetId="2" r:id="rId2"/>
    <sheet name="truthStateIdx" sheetId="3" r:id="rId3"/>
    <sheet name="navStateIdx" sheetId="4" r:id="rId4"/>
    <sheet name="truthStateParams" sheetId="5" r:id="rId5"/>
    <sheet name="truthStateInitialUncertainty" sheetId="6" r:id="rId6"/>
    <sheet name="navStateParams" sheetId="7" r:id="rId7"/>
    <sheet name="navStateInitialUncertainty" sheetId="8" r:id="rId8"/>
    <sheet name="errorInjection" sheetId="9" r:id="rId9"/>
    <sheet name="Constants" sheetId="10" r:id="rId10"/>
  </sheets>
  <definedNames>
    <definedName name="ac">Constants!$B$15</definedName>
    <definedName name="bc">Constants!$B$14</definedName>
    <definedName name="days2hrs">Constants!$B$6</definedName>
    <definedName name="g2mps2">Constants!$B$5</definedName>
    <definedName name="hr2min">Constants!$B$2</definedName>
    <definedName name="hr2sec">Constants!$B$4</definedName>
    <definedName name="km2m">Constants!$B$11</definedName>
    <definedName name="min2sec">Constants!$B$3</definedName>
    <definedName name="Na">general!$B$9</definedName>
    <definedName name="pc">Constants!$B$12</definedName>
    <definedName name="SpeedOfLight">Constants!$B$8</definedName>
    <definedName name="vc">Constants!$B$13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B8" i="10"/>
  <c r="B7" i="10"/>
  <c r="B4" i="10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17" i="8"/>
  <c r="C17" i="8"/>
  <c r="A17" i="8"/>
  <c r="D16" i="8"/>
  <c r="C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A11" i="8"/>
  <c r="D10" i="8"/>
  <c r="C10" i="8"/>
  <c r="A10" i="8"/>
  <c r="D9" i="8"/>
  <c r="C9" i="8"/>
  <c r="A9" i="8"/>
  <c r="D8" i="8"/>
  <c r="C8" i="8"/>
  <c r="A8" i="8"/>
  <c r="D7" i="8"/>
  <c r="C7" i="8"/>
  <c r="B7" i="8"/>
  <c r="A7" i="8"/>
  <c r="D6" i="8"/>
  <c r="C6" i="8"/>
  <c r="A6" i="8"/>
  <c r="D5" i="8"/>
  <c r="C5" i="8"/>
  <c r="A5" i="8"/>
  <c r="D4" i="8"/>
  <c r="C4" i="8"/>
  <c r="A4" i="8"/>
  <c r="D3" i="8"/>
  <c r="C3" i="8"/>
  <c r="B3" i="8"/>
  <c r="A3" i="8"/>
  <c r="D2" i="8"/>
  <c r="C2" i="8"/>
  <c r="A2" i="8"/>
  <c r="E14" i="7"/>
  <c r="D14" i="7"/>
  <c r="C14" i="7"/>
  <c r="B14" i="7"/>
  <c r="A14" i="7"/>
  <c r="E13" i="7"/>
  <c r="D13" i="7"/>
  <c r="C13" i="7"/>
  <c r="B13" i="7"/>
  <c r="A13" i="7"/>
  <c r="D12" i="7"/>
  <c r="C12" i="7"/>
  <c r="B12" i="7"/>
  <c r="A12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D8" i="7"/>
  <c r="C8" i="7"/>
  <c r="B8" i="7"/>
  <c r="A8" i="7"/>
  <c r="D7" i="7"/>
  <c r="C7" i="7"/>
  <c r="B7" i="7"/>
  <c r="A7" i="7"/>
  <c r="E6" i="7"/>
  <c r="D6" i="7"/>
  <c r="C6" i="7"/>
  <c r="B6" i="7"/>
  <c r="A6" i="7"/>
  <c r="E5" i="7"/>
  <c r="D5" i="7"/>
  <c r="C5" i="7"/>
  <c r="B5" i="7"/>
  <c r="A5" i="7"/>
  <c r="D4" i="7"/>
  <c r="C4" i="7"/>
  <c r="B4" i="7"/>
  <c r="A4" i="7"/>
  <c r="D3" i="7"/>
  <c r="C3" i="7"/>
  <c r="B3" i="7"/>
  <c r="A3" i="7"/>
  <c r="E2" i="7"/>
  <c r="D2" i="7"/>
  <c r="C2" i="7"/>
  <c r="B2" i="7"/>
  <c r="A2" i="7"/>
  <c r="E17" i="6"/>
  <c r="E17" i="8" s="1"/>
  <c r="B17" i="6"/>
  <c r="B17" i="8" s="1"/>
  <c r="B16" i="6"/>
  <c r="B16" i="8" s="1"/>
  <c r="E15" i="6"/>
  <c r="E15" i="8" s="1"/>
  <c r="B15" i="6"/>
  <c r="E14" i="6"/>
  <c r="E14" i="8" s="1"/>
  <c r="E13" i="6"/>
  <c r="E13" i="8" s="1"/>
  <c r="E12" i="6"/>
  <c r="E12" i="8" s="1"/>
  <c r="B11" i="6"/>
  <c r="B11" i="8" s="1"/>
  <c r="B10" i="6"/>
  <c r="B9" i="6"/>
  <c r="E9" i="6" s="1"/>
  <c r="E9" i="8" s="1"/>
  <c r="B8" i="6"/>
  <c r="B7" i="6"/>
  <c r="E7" i="6" s="1"/>
  <c r="E7" i="8" s="1"/>
  <c r="B6" i="6"/>
  <c r="B5" i="6"/>
  <c r="E5" i="6" s="1"/>
  <c r="E5" i="8" s="1"/>
  <c r="B4" i="6"/>
  <c r="B3" i="6"/>
  <c r="E3" i="6" s="1"/>
  <c r="E3" i="8" s="1"/>
  <c r="B2" i="6"/>
  <c r="E14" i="5"/>
  <c r="E13" i="5"/>
  <c r="E12" i="5"/>
  <c r="E12" i="7" s="1"/>
  <c r="E11" i="5"/>
  <c r="E11" i="7" s="1"/>
  <c r="E10" i="5"/>
  <c r="E9" i="5"/>
  <c r="E8" i="5"/>
  <c r="E8" i="7" s="1"/>
  <c r="E7" i="5"/>
  <c r="E7" i="7" s="1"/>
  <c r="E6" i="5"/>
  <c r="E5" i="5"/>
  <c r="E4" i="5"/>
  <c r="E4" i="7" s="1"/>
  <c r="E3" i="5"/>
  <c r="E3" i="7" s="1"/>
  <c r="E2" i="5"/>
  <c r="D2" i="4"/>
  <c r="C2" i="4"/>
  <c r="C16" i="3"/>
  <c r="E16" i="3" s="1"/>
  <c r="B16" i="3"/>
  <c r="D16" i="3" s="1"/>
  <c r="B14" i="3"/>
  <c r="B12" i="3"/>
  <c r="B10" i="3"/>
  <c r="B2" i="3"/>
  <c r="D2" i="3" s="1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2" i="1"/>
  <c r="B11" i="1"/>
  <c r="E11" i="1" s="1"/>
  <c r="E10" i="1"/>
  <c r="E9" i="1"/>
  <c r="E8" i="1"/>
  <c r="E7" i="1"/>
  <c r="E6" i="1"/>
  <c r="E5" i="1"/>
  <c r="E4" i="1"/>
  <c r="E3" i="1"/>
  <c r="E2" i="1"/>
  <c r="B17" i="3" l="1"/>
  <c r="D10" i="3"/>
  <c r="C10" i="3"/>
  <c r="C2" i="3"/>
  <c r="B2" i="8"/>
  <c r="E2" i="6"/>
  <c r="E2" i="8" s="1"/>
  <c r="B6" i="8"/>
  <c r="E6" i="6"/>
  <c r="E6" i="8" s="1"/>
  <c r="B10" i="8"/>
  <c r="E10" i="6"/>
  <c r="E10" i="8" s="1"/>
  <c r="D12" i="3"/>
  <c r="C12" i="3"/>
  <c r="B3" i="4"/>
  <c r="E2" i="4"/>
  <c r="B4" i="8"/>
  <c r="E4" i="6"/>
  <c r="E4" i="8" s="1"/>
  <c r="B8" i="8"/>
  <c r="E8" i="6"/>
  <c r="E8" i="8" s="1"/>
  <c r="D14" i="3"/>
  <c r="C14" i="3"/>
  <c r="D17" i="3"/>
  <c r="C17" i="3"/>
  <c r="E16" i="6"/>
  <c r="E16" i="8" s="1"/>
  <c r="B5" i="8"/>
  <c r="B9" i="8"/>
  <c r="E11" i="6"/>
  <c r="E11" i="8" s="1"/>
  <c r="E2" i="3" l="1"/>
  <c r="B3" i="3"/>
  <c r="E10" i="3"/>
  <c r="B11" i="3"/>
  <c r="D3" i="4"/>
  <c r="C3" i="4"/>
  <c r="E14" i="3"/>
  <c r="B15" i="3"/>
  <c r="E12" i="3"/>
  <c r="B13" i="3"/>
  <c r="E17" i="3"/>
  <c r="B18" i="3"/>
  <c r="D18" i="3" l="1"/>
  <c r="C18" i="3"/>
  <c r="D15" i="3"/>
  <c r="C15" i="3"/>
  <c r="E15" i="3" s="1"/>
  <c r="D11" i="3"/>
  <c r="C11" i="3"/>
  <c r="E11" i="3" s="1"/>
  <c r="D13" i="3"/>
  <c r="C13" i="3"/>
  <c r="E13" i="3" s="1"/>
  <c r="B4" i="4"/>
  <c r="E3" i="4"/>
  <c r="D3" i="3"/>
  <c r="C3" i="3"/>
  <c r="E3" i="3" l="1"/>
  <c r="B4" i="3"/>
  <c r="E18" i="3"/>
  <c r="B19" i="3"/>
  <c r="D4" i="4"/>
  <c r="C4" i="4"/>
  <c r="D19" i="3" l="1"/>
  <c r="C19" i="3"/>
  <c r="E19" i="3" s="1"/>
  <c r="B5" i="4"/>
  <c r="E4" i="4"/>
  <c r="D4" i="3"/>
  <c r="C4" i="3"/>
  <c r="D5" i="4" l="1"/>
  <c r="C5" i="4"/>
  <c r="E5" i="4" s="1"/>
  <c r="E4" i="3"/>
  <c r="B5" i="3"/>
  <c r="D5" i="3" l="1"/>
  <c r="C5" i="3"/>
  <c r="E5" i="3" l="1"/>
  <c r="B6" i="3"/>
  <c r="D6" i="3" l="1"/>
  <c r="C6" i="3"/>
  <c r="E6" i="3" l="1"/>
  <c r="B7" i="3"/>
  <c r="D7" i="3" l="1"/>
  <c r="C7" i="3"/>
  <c r="E7" i="3" l="1"/>
  <c r="B8" i="3"/>
  <c r="D8" i="3" l="1"/>
  <c r="C8" i="3"/>
  <c r="E8" i="3" l="1"/>
  <c r="B9" i="3"/>
  <c r="D9" i="3" l="1"/>
  <c r="C9" i="3"/>
  <c r="E9" i="3" s="1"/>
</calcChain>
</file>

<file path=xl/sharedStrings.xml><?xml version="1.0" encoding="utf-8"?>
<sst xmlns="http://schemas.openxmlformats.org/spreadsheetml/2006/main" count="441" uniqueCount="217">
  <si>
    <t>Name</t>
  </si>
  <si>
    <t>Value</t>
  </si>
  <si>
    <t>Units</t>
  </si>
  <si>
    <t>Description</t>
  </si>
  <si>
    <t>MatlabValues</t>
  </si>
  <si>
    <t>dt_kalmanUpdate</t>
  </si>
  <si>
    <t>sec</t>
  </si>
  <si>
    <t>kalman update sampling time</t>
  </si>
  <si>
    <t>dt</t>
  </si>
  <si>
    <t>Simulation timestep</t>
  </si>
  <si>
    <t>tsim</t>
  </si>
  <si>
    <t>Simulation time</t>
  </si>
  <si>
    <t>checkErrDefConstEnable</t>
  </si>
  <si>
    <t>unitless</t>
  </si>
  <si>
    <t>flag to enable checking of error definition consistency</t>
  </si>
  <si>
    <t>errorPropTestEnable</t>
  </si>
  <si>
    <t>flag to enable error propagation test</t>
  </si>
  <si>
    <t>measLinerizationCheckEnable</t>
  </si>
  <si>
    <t>flag to enable checking of measurement linearization</t>
  </si>
  <si>
    <t>correlated_kalman_update_enable</t>
  </si>
  <si>
    <t>flag to enable correlated Kalman update</t>
  </si>
  <si>
    <t>n_assets</t>
  </si>
  <si>
    <t>number of chaser assets</t>
  </si>
  <si>
    <t>n_chaser</t>
  </si>
  <si>
    <t>number of components in the chaser state</t>
  </si>
  <si>
    <t>n_design</t>
  </si>
  <si>
    <t>number of components in the design</t>
  </si>
  <si>
    <t>n_MonteCarloRuns</t>
  </si>
  <si>
    <t>number of Monte Carlo runs</t>
  </si>
  <si>
    <t>p1x</t>
  </si>
  <si>
    <t>km</t>
  </si>
  <si>
    <t>x component of initial position of asset 1 (inertial)</t>
  </si>
  <si>
    <t>p1y</t>
  </si>
  <si>
    <t>y component of initial position of asset 1 (inertial)</t>
  </si>
  <si>
    <t>p1z</t>
  </si>
  <si>
    <t>z component of initial position of asset 1 (inertial)</t>
  </si>
  <si>
    <t>v1x</t>
  </si>
  <si>
    <t>km/s</t>
  </si>
  <si>
    <t>x component of initial velocity of asset 1 (inertial)</t>
  </si>
  <si>
    <t>v1y</t>
  </si>
  <si>
    <t>y component of initial velocity of asset 1 (inertial)</t>
  </si>
  <si>
    <t>v1z</t>
  </si>
  <si>
    <t>z component of initial velocity of asset 1 (inertial)</t>
  </si>
  <si>
    <t>p2x</t>
  </si>
  <si>
    <t>p2y</t>
  </si>
  <si>
    <t>p2z</t>
  </si>
  <si>
    <t>v2x</t>
  </si>
  <si>
    <t>v2y</t>
  </si>
  <si>
    <t>v2z</t>
  </si>
  <si>
    <t>p3x</t>
  </si>
  <si>
    <t>p3y</t>
  </si>
  <si>
    <t>p3z</t>
  </si>
  <si>
    <t>v3x</t>
  </si>
  <si>
    <t>v3y</t>
  </si>
  <si>
    <t>v3z</t>
  </si>
  <si>
    <t>p4x</t>
  </si>
  <si>
    <t>p4y</t>
  </si>
  <si>
    <t>p4z</t>
  </si>
  <si>
    <t>v4x</t>
  </si>
  <si>
    <t>v4y</t>
  </si>
  <si>
    <t>v4z</t>
  </si>
  <si>
    <t>p5x</t>
  </si>
  <si>
    <t>p5y</t>
  </si>
  <si>
    <t>p5z</t>
  </si>
  <si>
    <t>v5x</t>
  </si>
  <si>
    <t>v5y</t>
  </si>
  <si>
    <t>v5z</t>
  </si>
  <si>
    <t>p6x</t>
  </si>
  <si>
    <t>p6y</t>
  </si>
  <si>
    <t>p6z</t>
  </si>
  <si>
    <t>v6x</t>
  </si>
  <si>
    <t>v6y</t>
  </si>
  <si>
    <t>v6z</t>
  </si>
  <si>
    <t>p7x</t>
  </si>
  <si>
    <t>p7y</t>
  </si>
  <si>
    <t>p7z</t>
  </si>
  <si>
    <t>v7x</t>
  </si>
  <si>
    <t>v7y</t>
  </si>
  <si>
    <t>v7z</t>
  </si>
  <si>
    <t>b1</t>
  </si>
  <si>
    <t>ns</t>
  </si>
  <si>
    <t>clock bias for asset 1</t>
  </si>
  <si>
    <t>b2</t>
  </si>
  <si>
    <t>clock bias for asset 2</t>
  </si>
  <si>
    <t>b3</t>
  </si>
  <si>
    <t>clock bias for asset 3</t>
  </si>
  <si>
    <t>b4</t>
  </si>
  <si>
    <t>clock bias for asset 4</t>
  </si>
  <si>
    <t>b5</t>
  </si>
  <si>
    <t>clock bias for asset 5</t>
  </si>
  <si>
    <t>b6</t>
  </si>
  <si>
    <t>clock bias for asset 6</t>
  </si>
  <si>
    <t>b7</t>
  </si>
  <si>
    <t>clock bias for asset 7</t>
  </si>
  <si>
    <t>ptx</t>
  </si>
  <si>
    <t>x component of initial position of target (inertial)</t>
  </si>
  <si>
    <t>pty</t>
  </si>
  <si>
    <t>y component of initial position of target (inertial)</t>
  </si>
  <si>
    <t>ptz</t>
  </si>
  <si>
    <t>z component of initial position of target (inertial)</t>
  </si>
  <si>
    <t>vtx</t>
  </si>
  <si>
    <t>x component of initial velocity of target (inertial)</t>
  </si>
  <si>
    <t>vty</t>
  </si>
  <si>
    <t>y component of initial velocity of target (inertial)</t>
  </si>
  <si>
    <t>vtz</t>
  </si>
  <si>
    <t>z component of initial velocity of target (inertial)</t>
  </si>
  <si>
    <t>ax</t>
  </si>
  <si>
    <t>nm/s^2</t>
  </si>
  <si>
    <t>x component of atmospheric acceleration</t>
  </si>
  <si>
    <t>ay</t>
  </si>
  <si>
    <t>y component of atmospheric acceleration</t>
  </si>
  <si>
    <t>az</t>
  </si>
  <si>
    <t>z component of atmospheric acceleration</t>
  </si>
  <si>
    <t>State</t>
  </si>
  <si>
    <t>start_idx</t>
  </si>
  <si>
    <t>end_idx</t>
  </si>
  <si>
    <t>error_start_idx</t>
  </si>
  <si>
    <t>error_end_idx</t>
  </si>
  <si>
    <t>posA1</t>
  </si>
  <si>
    <t>velA1</t>
  </si>
  <si>
    <t>posA2</t>
  </si>
  <si>
    <t>velA2</t>
  </si>
  <si>
    <t>posA3</t>
  </si>
  <si>
    <t>velA3</t>
  </si>
  <si>
    <t>posA4</t>
  </si>
  <si>
    <t>velA4</t>
  </si>
  <si>
    <t>posA5</t>
  </si>
  <si>
    <t>velA5</t>
  </si>
  <si>
    <t>posA6</t>
  </si>
  <si>
    <t>velA6</t>
  </si>
  <si>
    <t>posA7</t>
  </si>
  <si>
    <t>velA7</t>
  </si>
  <si>
    <t>bias</t>
  </si>
  <si>
    <t>posT</t>
  </si>
  <si>
    <t>velT</t>
  </si>
  <si>
    <t>accD</t>
  </si>
  <si>
    <t>pt</t>
  </si>
  <si>
    <t>vt</t>
  </si>
  <si>
    <t>units</t>
  </si>
  <si>
    <t>sig_b1_ss</t>
  </si>
  <si>
    <t>3-sigma bias propagation noise of asset 1</t>
  </si>
  <si>
    <t>sig_b2_ss</t>
  </si>
  <si>
    <t>3-sigma bias propagation noise of asset 2</t>
  </si>
  <si>
    <t>sig_b3_ss</t>
  </si>
  <si>
    <t>3-sigma bias propagation noise of asset 3</t>
  </si>
  <si>
    <t>sig_b4_ss</t>
  </si>
  <si>
    <t>3-sigma bias propagation noise of asset 4</t>
  </si>
  <si>
    <t>sig_b5_ss</t>
  </si>
  <si>
    <t>3-sigma bias propagation noise of asset 5</t>
  </si>
  <si>
    <t>sig_b6_ss</t>
  </si>
  <si>
    <t>3-sigma bias propagation noise of asset 6</t>
  </si>
  <si>
    <t>sig_b7_ss</t>
  </si>
  <si>
    <t>3-sigma bias propagation noise of asset 7</t>
  </si>
  <si>
    <t>Q_grav_x</t>
  </si>
  <si>
    <t>m^2/sec^3</t>
  </si>
  <si>
    <t>3-sigma of RSO x accelerations</t>
  </si>
  <si>
    <t>cm^2/sec^3</t>
  </si>
  <si>
    <t>Q_grav_y</t>
  </si>
  <si>
    <t>3-sigma of RSO y accelerations</t>
  </si>
  <si>
    <t>Q_grav_z</t>
  </si>
  <si>
    <t>3-sigma of RSO z accelerations</t>
  </si>
  <si>
    <t>sig_ax_ss</t>
  </si>
  <si>
    <t>3-sigma of RSO x atmo acceleration</t>
  </si>
  <si>
    <t>deci nm/s^2</t>
  </si>
  <si>
    <t>sig_ay_ss</t>
  </si>
  <si>
    <t>3-sigma of RSO y atmo acceleration</t>
  </si>
  <si>
    <t>sig_az_ss</t>
  </si>
  <si>
    <t>3-sigma of RSO z atmo acceleration</t>
  </si>
  <si>
    <t>units2</t>
  </si>
  <si>
    <t>sig_b1</t>
  </si>
  <si>
    <t>3-sigma clocking bias of asset 1</t>
  </si>
  <si>
    <t>sig_b2</t>
  </si>
  <si>
    <t>3-sigma clocking bias of asset 2</t>
  </si>
  <si>
    <t>sig_b3</t>
  </si>
  <si>
    <t>3-sigma clocking bias of asset 3</t>
  </si>
  <si>
    <t>sig_b4</t>
  </si>
  <si>
    <t>3-sigma clocking bias of asset 4</t>
  </si>
  <si>
    <t>sig_b5</t>
  </si>
  <si>
    <t>3-sigma clocking bias of asset 5</t>
  </si>
  <si>
    <t>sig_b6</t>
  </si>
  <si>
    <t>3-sigma clocking bias of asset 6</t>
  </si>
  <si>
    <t>sig_b7</t>
  </si>
  <si>
    <t>3-sigma clocking bias of asset 7</t>
  </si>
  <si>
    <t>sig_px</t>
  </si>
  <si>
    <t>3-sigma of RSO x position</t>
  </si>
  <si>
    <t>m</t>
  </si>
  <si>
    <t>sig_py</t>
  </si>
  <si>
    <t>3-sigma of RSO y position</t>
  </si>
  <si>
    <t>sig_pz</t>
  </si>
  <si>
    <t>3-sigma of RSO z position</t>
  </si>
  <si>
    <t>sig_vx</t>
  </si>
  <si>
    <t>3-sigma of RSO x velocity</t>
  </si>
  <si>
    <t>cm/s</t>
  </si>
  <si>
    <t>sig_vy</t>
  </si>
  <si>
    <t>3-sigma of RSO y velocity</t>
  </si>
  <si>
    <t>sig_vz</t>
  </si>
  <si>
    <t>3-sigma of RSO z velocity</t>
  </si>
  <si>
    <t>sig_ax</t>
  </si>
  <si>
    <t>sig_ay</t>
  </si>
  <si>
    <t>sig_az</t>
  </si>
  <si>
    <t>s</t>
  </si>
  <si>
    <t>m/s^2</t>
  </si>
  <si>
    <t>hrs2min</t>
  </si>
  <si>
    <t>min2sec</t>
  </si>
  <si>
    <t>hrs2sec</t>
  </si>
  <si>
    <t>g2mps2</t>
  </si>
  <si>
    <t>days2hrs</t>
  </si>
  <si>
    <t>muEarth</t>
  </si>
  <si>
    <t>c</t>
  </si>
  <si>
    <t>tauBias</t>
  </si>
  <si>
    <t>tauAtmo</t>
  </si>
  <si>
    <t>km2m</t>
  </si>
  <si>
    <t>posCover</t>
  </si>
  <si>
    <t>velCover</t>
  </si>
  <si>
    <t>biaCover</t>
  </si>
  <si>
    <t>atmCover</t>
  </si>
  <si>
    <t>TDOA_Kalman_update_enable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</si>
</sst>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0.00000000E+00"/>
    <numFmt numFmtId="166" formatCode="0.000E+00"/>
    <numFmt numFmtId="167" formatCode="0.000"/>
    <numFmt numFmtId="168" formatCode="#,##0.000000"/>
    <numFmt numFmtId="169" formatCode="0.0000000"/>
    <numFmt numFmtId="170" formatCode="#,##0.0000"/>
    <numFmt numFmtId="171" formatCode="0.0000000000"/>
    <numFmt numFmtId="172" formatCode="0.0000E+00"/>
    <numFmt numFmtId="178" formatCode="0.000000000E+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11" fontId="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16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0" fontId="1" fillId="0" borderId="9" xfId="0" applyFont="1" applyBorder="1"/>
    <xf numFmtId="164" fontId="1" fillId="0" borderId="10" xfId="0" applyNumberFormat="1" applyFont="1" applyBorder="1"/>
    <xf numFmtId="0" fontId="1" fillId="0" borderId="10" xfId="0" applyFont="1" applyBorder="1"/>
    <xf numFmtId="165" fontId="1" fillId="0" borderId="11" xfId="0" applyNumberFormat="1" applyFont="1" applyBorder="1"/>
    <xf numFmtId="0" fontId="0" fillId="0" borderId="2" xfId="0" applyFont="1" applyBorder="1"/>
    <xf numFmtId="171" fontId="0" fillId="0" borderId="2" xfId="0" applyNumberFormat="1" applyFont="1" applyBorder="1"/>
    <xf numFmtId="172" fontId="0" fillId="0" borderId="3" xfId="0" applyNumberFormat="1" applyFont="1" applyBorder="1"/>
    <xf numFmtId="0" fontId="0" fillId="0" borderId="0" xfId="0" applyFont="1" applyBorder="1"/>
    <xf numFmtId="171" fontId="0" fillId="0" borderId="0" xfId="0" applyNumberFormat="1" applyFont="1" applyBorder="1"/>
    <xf numFmtId="172" fontId="0" fillId="0" borderId="5" xfId="0" applyNumberFormat="1" applyFont="1" applyBorder="1"/>
    <xf numFmtId="0" fontId="0" fillId="0" borderId="5" xfId="0" applyBorder="1"/>
    <xf numFmtId="0" fontId="0" fillId="0" borderId="7" xfId="0" applyFont="1" applyBorder="1"/>
    <xf numFmtId="0" fontId="0" fillId="0" borderId="8" xfId="0" applyBorder="1"/>
    <xf numFmtId="0" fontId="1" fillId="0" borderId="0" xfId="0" applyFont="1"/>
    <xf numFmtId="11" fontId="0" fillId="0" borderId="0" xfId="0" applyNumberFormat="1"/>
    <xf numFmtId="178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3"/>
  <sheetViews>
    <sheetView tabSelected="1" zoomScaleNormal="100" workbookViewId="0">
      <selection activeCell="B13" sqref="B13"/>
    </sheetView>
  </sheetViews>
  <sheetFormatPr defaultRowHeight="14.25" x14ac:dyDescent="0.45"/>
  <cols>
    <col min="1" max="1" width="29.265625" style="1"/>
    <col min="2" max="2" width="7.9296875" style="1"/>
    <col min="3" max="3" width="7.46484375" style="1"/>
    <col min="4" max="4" width="44.1328125" style="1"/>
    <col min="5" max="5" width="13.265625" style="1"/>
    <col min="6" max="6" width="28.46484375" style="1"/>
    <col min="7" max="1025" width="8.59765625" style="1"/>
  </cols>
  <sheetData>
    <row r="1" spans="1:5" x14ac:dyDescent="0.4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spans="1:5" x14ac:dyDescent="0.45">
      <c r="A2" s="6" t="s">
        <v>5</v>
      </c>
      <c r="B2" s="7">
        <v>500</v>
      </c>
      <c r="C2" s="8" t="s">
        <v>6</v>
      </c>
      <c r="D2" s="8" t="s">
        <v>7</v>
      </c>
      <c r="E2" s="9">
        <f t="shared" ref="E2:E12" si="0">B2</f>
        <v>500</v>
      </c>
    </row>
    <row r="3" spans="1:5" x14ac:dyDescent="0.45">
      <c r="A3" s="10" t="s">
        <v>8</v>
      </c>
      <c r="B3" s="11">
        <v>5</v>
      </c>
      <c r="C3" s="12" t="s">
        <v>6</v>
      </c>
      <c r="D3" s="12" t="s">
        <v>9</v>
      </c>
      <c r="E3" s="13">
        <f t="shared" si="0"/>
        <v>5</v>
      </c>
    </row>
    <row r="4" spans="1:5" x14ac:dyDescent="0.45">
      <c r="A4" s="10" t="s">
        <v>10</v>
      </c>
      <c r="B4" s="14">
        <v>15360</v>
      </c>
      <c r="C4" s="12" t="s">
        <v>6</v>
      </c>
      <c r="D4" s="12" t="s">
        <v>11</v>
      </c>
      <c r="E4" s="13">
        <f t="shared" si="0"/>
        <v>15360</v>
      </c>
    </row>
    <row r="5" spans="1:5" x14ac:dyDescent="0.45">
      <c r="A5" s="10" t="s">
        <v>12</v>
      </c>
      <c r="B5" s="14">
        <v>0</v>
      </c>
      <c r="C5" s="12" t="s">
        <v>13</v>
      </c>
      <c r="D5" s="12" t="s">
        <v>14</v>
      </c>
      <c r="E5" s="13">
        <f t="shared" si="0"/>
        <v>0</v>
      </c>
    </row>
    <row r="6" spans="1:5" x14ac:dyDescent="0.45">
      <c r="A6" s="10" t="s">
        <v>15</v>
      </c>
      <c r="B6" s="14">
        <v>0</v>
      </c>
      <c r="C6" s="12" t="s">
        <v>13</v>
      </c>
      <c r="D6" s="12" t="s">
        <v>16</v>
      </c>
      <c r="E6" s="13">
        <f t="shared" si="0"/>
        <v>0</v>
      </c>
    </row>
    <row r="7" spans="1:5" x14ac:dyDescent="0.45">
      <c r="A7" s="10" t="s">
        <v>17</v>
      </c>
      <c r="B7" s="14">
        <v>0</v>
      </c>
      <c r="C7" s="12" t="s">
        <v>13</v>
      </c>
      <c r="D7" s="12" t="s">
        <v>18</v>
      </c>
      <c r="E7" s="13">
        <f t="shared" si="0"/>
        <v>0</v>
      </c>
    </row>
    <row r="8" spans="1:5" x14ac:dyDescent="0.45">
      <c r="A8" s="15" t="s">
        <v>19</v>
      </c>
      <c r="B8" s="16">
        <v>0</v>
      </c>
      <c r="C8" s="17" t="s">
        <v>13</v>
      </c>
      <c r="D8" s="17" t="s">
        <v>20</v>
      </c>
      <c r="E8" s="18">
        <f t="shared" si="0"/>
        <v>0</v>
      </c>
    </row>
    <row r="9" spans="1:5" x14ac:dyDescent="0.45">
      <c r="A9" s="8" t="s">
        <v>21</v>
      </c>
      <c r="B9" s="8">
        <v>4</v>
      </c>
      <c r="C9" s="8" t="s">
        <v>13</v>
      </c>
      <c r="D9" s="8" t="s">
        <v>22</v>
      </c>
      <c r="E9" s="9">
        <f t="shared" si="0"/>
        <v>4</v>
      </c>
    </row>
    <row r="10" spans="1:5" x14ac:dyDescent="0.45">
      <c r="A10" s="12" t="s">
        <v>23</v>
      </c>
      <c r="B10" s="14">
        <v>6</v>
      </c>
      <c r="C10" s="12" t="s">
        <v>13</v>
      </c>
      <c r="D10" s="12" t="s">
        <v>24</v>
      </c>
      <c r="E10" s="13">
        <f t="shared" si="0"/>
        <v>6</v>
      </c>
    </row>
    <row r="11" spans="1:5" x14ac:dyDescent="0.45">
      <c r="A11" s="17" t="s">
        <v>25</v>
      </c>
      <c r="B11" s="17">
        <f>9+Na</f>
        <v>13</v>
      </c>
      <c r="C11" s="17" t="s">
        <v>13</v>
      </c>
      <c r="D11" s="17" t="s">
        <v>26</v>
      </c>
      <c r="E11" s="18">
        <f t="shared" si="0"/>
        <v>13</v>
      </c>
    </row>
    <row r="12" spans="1:5" x14ac:dyDescent="0.45">
      <c r="A12" s="19" t="s">
        <v>27</v>
      </c>
      <c r="B12" s="20">
        <v>30</v>
      </c>
      <c r="C12" s="21" t="s">
        <v>13</v>
      </c>
      <c r="D12" s="21" t="s">
        <v>28</v>
      </c>
      <c r="E12" s="22">
        <f t="shared" si="0"/>
        <v>30</v>
      </c>
    </row>
    <row r="13" spans="1:5" x14ac:dyDescent="0.45">
      <c r="A13" s="1" t="s">
        <v>216</v>
      </c>
      <c r="B13" s="1">
        <v>0</v>
      </c>
      <c r="E13" s="1">
        <f>B13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5"/>
  <sheetViews>
    <sheetView zoomScaleNormal="100" workbookViewId="0">
      <selection activeCell="B7" sqref="B7"/>
    </sheetView>
  </sheetViews>
  <sheetFormatPr defaultRowHeight="14.25" x14ac:dyDescent="0.45"/>
  <cols>
    <col min="1" max="1" width="10.59765625"/>
    <col min="2" max="2" width="26"/>
    <col min="3" max="1025" width="8.59765625"/>
  </cols>
  <sheetData>
    <row r="1" spans="1:2" x14ac:dyDescent="0.45">
      <c r="A1" s="69" t="s">
        <v>0</v>
      </c>
      <c r="B1" s="69" t="s">
        <v>1</v>
      </c>
    </row>
    <row r="2" spans="1:2" x14ac:dyDescent="0.45">
      <c r="A2" t="s">
        <v>202</v>
      </c>
      <c r="B2">
        <v>60</v>
      </c>
    </row>
    <row r="3" spans="1:2" x14ac:dyDescent="0.45">
      <c r="A3" t="s">
        <v>203</v>
      </c>
      <c r="B3">
        <v>60</v>
      </c>
    </row>
    <row r="4" spans="1:2" x14ac:dyDescent="0.45">
      <c r="A4" t="s">
        <v>204</v>
      </c>
      <c r="B4">
        <f>hr2min*min2sec</f>
        <v>3600</v>
      </c>
    </row>
    <row r="5" spans="1:2" x14ac:dyDescent="0.45">
      <c r="A5" t="s">
        <v>205</v>
      </c>
      <c r="B5">
        <v>9.81</v>
      </c>
    </row>
    <row r="6" spans="1:2" x14ac:dyDescent="0.45">
      <c r="A6" t="s">
        <v>206</v>
      </c>
      <c r="B6">
        <v>24</v>
      </c>
    </row>
    <row r="7" spans="1:2" x14ac:dyDescent="0.45">
      <c r="A7" t="s">
        <v>207</v>
      </c>
      <c r="B7" s="71">
        <f>398600.4418*(km2m^3)</f>
        <v>398600441800000</v>
      </c>
    </row>
    <row r="8" spans="1:2" x14ac:dyDescent="0.45">
      <c r="A8" t="s">
        <v>208</v>
      </c>
      <c r="B8">
        <f>299792.458*km2m</f>
        <v>299792458</v>
      </c>
    </row>
    <row r="9" spans="1:2" x14ac:dyDescent="0.45">
      <c r="A9" t="s">
        <v>209</v>
      </c>
      <c r="B9">
        <v>3500</v>
      </c>
    </row>
    <row r="10" spans="1:2" x14ac:dyDescent="0.45">
      <c r="A10" t="s">
        <v>210</v>
      </c>
      <c r="B10">
        <v>300</v>
      </c>
    </row>
    <row r="11" spans="1:2" x14ac:dyDescent="0.45">
      <c r="A11" t="s">
        <v>211</v>
      </c>
      <c r="B11">
        <v>1000</v>
      </c>
    </row>
    <row r="12" spans="1:2" x14ac:dyDescent="0.45">
      <c r="A12" t="s">
        <v>212</v>
      </c>
      <c r="B12" s="70">
        <v>1</v>
      </c>
    </row>
    <row r="13" spans="1:2" x14ac:dyDescent="0.45">
      <c r="A13" t="s">
        <v>213</v>
      </c>
      <c r="B13" s="70">
        <v>100</v>
      </c>
    </row>
    <row r="14" spans="1:2" x14ac:dyDescent="0.45">
      <c r="A14" t="s">
        <v>214</v>
      </c>
      <c r="B14" s="70">
        <v>1000000000</v>
      </c>
    </row>
    <row r="15" spans="1:2" x14ac:dyDescent="0.45">
      <c r="A15" t="s">
        <v>215</v>
      </c>
      <c r="B15" s="70">
        <v>10000000000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9"/>
  <sheetViews>
    <sheetView zoomScaleNormal="100" workbookViewId="0">
      <selection activeCell="D65" sqref="D65"/>
    </sheetView>
  </sheetViews>
  <sheetFormatPr defaultRowHeight="14.25" x14ac:dyDescent="0.45"/>
  <cols>
    <col min="1" max="1" width="6.19921875" style="1"/>
    <col min="2" max="2" width="8.9296875" style="1"/>
    <col min="3" max="3" width="8.59765625" style="1"/>
    <col min="4" max="4" width="42.9296875" style="1"/>
    <col min="5" max="5" width="23.6640625" style="1"/>
    <col min="6" max="1025" width="8.59765625" style="1"/>
  </cols>
  <sheetData>
    <row r="1" spans="1:1024" x14ac:dyDescent="0.45">
      <c r="A1" s="23" t="s">
        <v>0</v>
      </c>
      <c r="B1" s="24" t="s">
        <v>1</v>
      </c>
      <c r="C1" s="23" t="s">
        <v>2</v>
      </c>
      <c r="D1" s="23" t="s">
        <v>3</v>
      </c>
      <c r="E1" s="25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45">
      <c r="A2" s="12" t="s">
        <v>29</v>
      </c>
      <c r="B2" s="26">
        <v>7912.3396700000003</v>
      </c>
      <c r="C2" s="12" t="s">
        <v>30</v>
      </c>
      <c r="D2" s="12" t="s">
        <v>31</v>
      </c>
      <c r="E2" s="27">
        <f>B2*km2m*pc</f>
        <v>7912339.6699999999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45">
      <c r="A3" s="12" t="s">
        <v>32</v>
      </c>
      <c r="B3" s="26">
        <v>2836.1046000000001</v>
      </c>
      <c r="C3" s="12" t="s">
        <v>30</v>
      </c>
      <c r="D3" s="12" t="s">
        <v>33</v>
      </c>
      <c r="E3" s="27">
        <f>B3*km2m*pc</f>
        <v>2836104.6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45">
      <c r="A4" s="12" t="s">
        <v>34</v>
      </c>
      <c r="B4" s="26">
        <v>500.08170000000001</v>
      </c>
      <c r="C4" s="12" t="s">
        <v>30</v>
      </c>
      <c r="D4" s="12" t="s">
        <v>35</v>
      </c>
      <c r="E4" s="27">
        <f>B4*km2m*pc</f>
        <v>500081.7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45">
      <c r="A5" s="12" t="s">
        <v>36</v>
      </c>
      <c r="B5" s="26">
        <v>-2.3534999999999999</v>
      </c>
      <c r="C5" s="12" t="s">
        <v>37</v>
      </c>
      <c r="D5" s="12" t="s">
        <v>38</v>
      </c>
      <c r="E5" s="27">
        <f>B5*km2m*vc</f>
        <v>-235350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45">
      <c r="A6" s="12" t="s">
        <v>39</v>
      </c>
      <c r="B6" s="26">
        <v>6.3680000000000003</v>
      </c>
      <c r="C6" s="12" t="s">
        <v>37</v>
      </c>
      <c r="D6" s="12" t="s">
        <v>40</v>
      </c>
      <c r="E6" s="27">
        <f>B6*km2m*vc</f>
        <v>636800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45">
      <c r="A7" s="12" t="s">
        <v>41</v>
      </c>
      <c r="B7" s="26">
        <v>-1.1228564999999999</v>
      </c>
      <c r="C7" s="12" t="s">
        <v>37</v>
      </c>
      <c r="D7" s="12" t="s">
        <v>42</v>
      </c>
      <c r="E7" s="27">
        <f>B7*km2m*vc</f>
        <v>-112285.65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45">
      <c r="A8" s="12" t="s">
        <v>43</v>
      </c>
      <c r="B8" s="26">
        <v>7600</v>
      </c>
      <c r="C8" s="12" t="s">
        <v>30</v>
      </c>
      <c r="D8" s="12" t="s">
        <v>31</v>
      </c>
      <c r="E8" s="27">
        <f>B8*km2m*pc</f>
        <v>7600000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45">
      <c r="A9" s="12" t="s">
        <v>44</v>
      </c>
      <c r="B9" s="26">
        <v>3589</v>
      </c>
      <c r="C9" s="12" t="s">
        <v>30</v>
      </c>
      <c r="D9" s="12" t="s">
        <v>33</v>
      </c>
      <c r="E9" s="27">
        <f>B9*km2m*pc</f>
        <v>3589000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45">
      <c r="A10" s="12" t="s">
        <v>45</v>
      </c>
      <c r="B10" s="26">
        <v>-500</v>
      </c>
      <c r="C10" s="12" t="s">
        <v>30</v>
      </c>
      <c r="D10" s="12" t="s">
        <v>35</v>
      </c>
      <c r="E10" s="27">
        <f>B10*km2m*pc</f>
        <v>-500000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2" customFormat="1" x14ac:dyDescent="0.45">
      <c r="A11" s="12" t="s">
        <v>46</v>
      </c>
      <c r="B11" s="26">
        <v>-2.839</v>
      </c>
      <c r="C11" s="12" t="s">
        <v>37</v>
      </c>
      <c r="D11" s="12" t="s">
        <v>38</v>
      </c>
      <c r="E11" s="27">
        <f>B11*km2m*vc</f>
        <v>-283900</v>
      </c>
    </row>
    <row r="12" spans="1:1024" x14ac:dyDescent="0.45">
      <c r="A12" s="12" t="s">
        <v>47</v>
      </c>
      <c r="B12" s="26">
        <v>6.17</v>
      </c>
      <c r="C12" s="12" t="s">
        <v>37</v>
      </c>
      <c r="D12" s="12" t="s">
        <v>40</v>
      </c>
      <c r="E12" s="27">
        <f>B12*km2m*vc</f>
        <v>617000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45">
      <c r="A13" s="12" t="s">
        <v>48</v>
      </c>
      <c r="B13" s="26">
        <v>-1.1200000000000001</v>
      </c>
      <c r="C13" s="12" t="s">
        <v>37</v>
      </c>
      <c r="D13" s="12" t="s">
        <v>42</v>
      </c>
      <c r="E13" s="27">
        <f>B13*km2m*vc</f>
        <v>-112000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45">
      <c r="A14" s="12" t="s">
        <v>49</v>
      </c>
      <c r="B14" s="26">
        <v>7993.2289517626796</v>
      </c>
      <c r="C14" s="12" t="s">
        <v>30</v>
      </c>
      <c r="D14" s="12" t="s">
        <v>31</v>
      </c>
      <c r="E14" s="27">
        <f>B14*km2m*pc</f>
        <v>7993228.95176268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45">
      <c r="A15" s="12" t="s">
        <v>50</v>
      </c>
      <c r="B15" s="26">
        <v>2319.6356760459498</v>
      </c>
      <c r="C15" s="12" t="s">
        <v>30</v>
      </c>
      <c r="D15" s="12" t="s">
        <v>33</v>
      </c>
      <c r="E15" s="27">
        <f>B15*km2m*pc</f>
        <v>2319635.67604595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45">
      <c r="A16" s="12" t="s">
        <v>51</v>
      </c>
      <c r="B16" s="26">
        <v>1275.2535095477101</v>
      </c>
      <c r="C16" s="12" t="s">
        <v>30</v>
      </c>
      <c r="D16" s="12" t="s">
        <v>35</v>
      </c>
      <c r="E16" s="27">
        <f>B16*km2m*pc</f>
        <v>1275253.5095477102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45">
      <c r="A17" s="12" t="s">
        <v>52</v>
      </c>
      <c r="B17" s="26">
        <v>-2.1579284716607798</v>
      </c>
      <c r="C17" s="12" t="s">
        <v>37</v>
      </c>
      <c r="D17" s="12" t="s">
        <v>38</v>
      </c>
      <c r="E17" s="27">
        <f>B17*km2m*vc</f>
        <v>-215792.84716607799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45">
      <c r="A18" s="12" t="s">
        <v>53</v>
      </c>
      <c r="B18" s="26">
        <v>5.9433970953411404</v>
      </c>
      <c r="C18" s="12" t="s">
        <v>37</v>
      </c>
      <c r="D18" s="12" t="s">
        <v>40</v>
      </c>
      <c r="E18" s="27">
        <f>B18*km2m*vc</f>
        <v>594339.70953411411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45">
      <c r="A19" s="12" t="s">
        <v>54</v>
      </c>
      <c r="B19" s="26">
        <v>-2.7149898983448</v>
      </c>
      <c r="C19" s="12" t="s">
        <v>37</v>
      </c>
      <c r="D19" s="12" t="s">
        <v>42</v>
      </c>
      <c r="E19" s="27">
        <f>B19*km2m*vc</f>
        <v>-271498.98983447999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45">
      <c r="A20" s="12" t="s">
        <v>55</v>
      </c>
      <c r="B20" s="26">
        <v>8292.2152142171999</v>
      </c>
      <c r="C20" s="12" t="s">
        <v>30</v>
      </c>
      <c r="D20" s="12" t="s">
        <v>31</v>
      </c>
      <c r="E20" s="27">
        <f>B20*km2m*pc</f>
        <v>8292215.2142171999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45">
      <c r="A21" s="12" t="s">
        <v>56</v>
      </c>
      <c r="B21" s="26">
        <v>8.9530331439397703E-14</v>
      </c>
      <c r="C21" s="12" t="s">
        <v>30</v>
      </c>
      <c r="D21" s="12" t="s">
        <v>33</v>
      </c>
      <c r="E21" s="27">
        <f>B21*km2m*pc</f>
        <v>8.9530331439397699E-11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45">
      <c r="A22" s="12" t="s">
        <v>57</v>
      </c>
      <c r="B22" s="26">
        <v>1462.1412721077199</v>
      </c>
      <c r="C22" s="12" t="s">
        <v>30</v>
      </c>
      <c r="D22" s="12" t="s">
        <v>35</v>
      </c>
      <c r="E22" s="27">
        <f>B22*km2m*pc</f>
        <v>1462141.2721077199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45">
      <c r="A23" s="12" t="s">
        <v>58</v>
      </c>
      <c r="B23" s="26">
        <v>-1.19491895657397</v>
      </c>
      <c r="C23" s="12" t="s">
        <v>37</v>
      </c>
      <c r="D23" s="12" t="s">
        <v>38</v>
      </c>
      <c r="E23" s="27">
        <f>B23*km2m*vc</f>
        <v>-119491.89565739701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45">
      <c r="A24" s="12" t="s">
        <v>59</v>
      </c>
      <c r="B24" s="26">
        <v>4.14954554750836E-16</v>
      </c>
      <c r="C24" s="12" t="s">
        <v>37</v>
      </c>
      <c r="D24" s="12" t="s">
        <v>40</v>
      </c>
      <c r="E24" s="27">
        <f>B24*km2m*vc</f>
        <v>4.1495455475083597E-11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45">
      <c r="A25" s="12" t="s">
        <v>60</v>
      </c>
      <c r="B25" s="26">
        <v>-6.77672215433451</v>
      </c>
      <c r="C25" s="12" t="s">
        <v>37</v>
      </c>
      <c r="D25" s="12" t="s">
        <v>42</v>
      </c>
      <c r="E25" s="27">
        <f>B25*km2m*vc</f>
        <v>-677672.215433451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45">
      <c r="A26" s="12" t="s">
        <v>61</v>
      </c>
      <c r="B26" s="26">
        <v>8292.2152142171999</v>
      </c>
      <c r="C26" s="12" t="s">
        <v>30</v>
      </c>
      <c r="D26" s="12" t="s">
        <v>31</v>
      </c>
      <c r="E26" s="27">
        <f>B26*km2m*pc</f>
        <v>8292215.2142171999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45">
      <c r="A27" s="12" t="s">
        <v>62</v>
      </c>
      <c r="B27" s="26">
        <v>617.92760283749794</v>
      </c>
      <c r="C27" s="12" t="s">
        <v>30</v>
      </c>
      <c r="D27" s="12" t="s">
        <v>33</v>
      </c>
      <c r="E27" s="27">
        <f>B27*km2m*pc</f>
        <v>617927.60283749795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45">
      <c r="A28" s="12" t="s">
        <v>63</v>
      </c>
      <c r="B28" s="26">
        <v>1325.1500206589001</v>
      </c>
      <c r="C28" s="12" t="s">
        <v>30</v>
      </c>
      <c r="D28" s="12" t="s">
        <v>35</v>
      </c>
      <c r="E28" s="27">
        <f>B28*km2m*pc</f>
        <v>1325150.0206589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45">
      <c r="A29" s="12" t="s">
        <v>64</v>
      </c>
      <c r="B29" s="26">
        <v>-1.19491895657397</v>
      </c>
      <c r="C29" s="12" t="s">
        <v>37</v>
      </c>
      <c r="D29" s="12" t="s">
        <v>38</v>
      </c>
      <c r="E29" s="27">
        <f>B29*km2m*vc</f>
        <v>-119491.89565739701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45">
      <c r="A30" s="12" t="s">
        <v>65</v>
      </c>
      <c r="B30" s="26">
        <v>2.86396653716454</v>
      </c>
      <c r="C30" s="12" t="s">
        <v>37</v>
      </c>
      <c r="D30" s="12" t="s">
        <v>40</v>
      </c>
      <c r="E30" s="27">
        <f>B30*km2m*vc</f>
        <v>286396.65371645399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45">
      <c r="A31" s="12" t="s">
        <v>66</v>
      </c>
      <c r="B31" s="26">
        <v>-6.1417960590571496</v>
      </c>
      <c r="C31" s="12" t="s">
        <v>37</v>
      </c>
      <c r="D31" s="12" t="s">
        <v>42</v>
      </c>
      <c r="E31" s="27">
        <f>B31*km2m*vc</f>
        <v>-614179.60590571491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45">
      <c r="A32" s="12" t="s">
        <v>67</v>
      </c>
      <c r="B32" s="26">
        <v>8059.7117971281004</v>
      </c>
      <c r="C32" s="12" t="s">
        <v>30</v>
      </c>
      <c r="D32" s="12" t="s">
        <v>31</v>
      </c>
      <c r="E32" s="27">
        <f>B32*km2m*pc</f>
        <v>8059711.7971281009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45">
      <c r="A33" s="12" t="s">
        <v>68</v>
      </c>
      <c r="B33" s="26">
        <v>-1339.0109653545501</v>
      </c>
      <c r="C33" s="12" t="s">
        <v>30</v>
      </c>
      <c r="D33" s="12" t="s">
        <v>33</v>
      </c>
      <c r="E33" s="27">
        <f>B33*km2m*pc</f>
        <v>-1339010.9653545502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45">
      <c r="A34" s="12" t="s">
        <v>69</v>
      </c>
      <c r="B34" s="26">
        <v>-2036.3657923836699</v>
      </c>
      <c r="C34" s="12" t="s">
        <v>30</v>
      </c>
      <c r="D34" s="12" t="s">
        <v>35</v>
      </c>
      <c r="E34" s="27">
        <f>B34*km2m*pc</f>
        <v>-2036365.7923836699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45">
      <c r="A35" s="12" t="s">
        <v>70</v>
      </c>
      <c r="B35" s="26">
        <v>1.9460688414910401</v>
      </c>
      <c r="C35" s="12" t="s">
        <v>37</v>
      </c>
      <c r="D35" s="12" t="s">
        <v>38</v>
      </c>
      <c r="E35" s="27">
        <f>B35*km2m*vc</f>
        <v>194606.88414910401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45">
      <c r="A36" s="12" t="s">
        <v>71</v>
      </c>
      <c r="B36" s="26">
        <v>4.7600700793389397</v>
      </c>
      <c r="C36" s="12" t="s">
        <v>37</v>
      </c>
      <c r="D36" s="12" t="s">
        <v>40</v>
      </c>
      <c r="E36" s="27">
        <f>B36*km2m*vc</f>
        <v>476007.00793389394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45">
      <c r="A37" s="12" t="s">
        <v>72</v>
      </c>
      <c r="B37" s="26">
        <v>-4.5723455002643796</v>
      </c>
      <c r="C37" s="12" t="s">
        <v>37</v>
      </c>
      <c r="D37" s="12" t="s">
        <v>42</v>
      </c>
      <c r="E37" s="27">
        <f>B37*km2m*vc</f>
        <v>-457234.55002643797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45">
      <c r="A38" s="12" t="s">
        <v>73</v>
      </c>
      <c r="B38" s="26">
        <v>-5836.9729552489398</v>
      </c>
      <c r="C38" s="12" t="s">
        <v>30</v>
      </c>
      <c r="D38" s="12" t="s">
        <v>31</v>
      </c>
      <c r="E38" s="27">
        <f>B38*km2m*pc</f>
        <v>-5836972.9552489398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45">
      <c r="A39" s="12" t="s">
        <v>74</v>
      </c>
      <c r="B39" s="26">
        <v>3769.19293812876</v>
      </c>
      <c r="C39" s="12" t="s">
        <v>30</v>
      </c>
      <c r="D39" s="12" t="s">
        <v>33</v>
      </c>
      <c r="E39" s="27">
        <f>B39*km2m*pc</f>
        <v>3769192.9381287601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45">
      <c r="A40" s="12" t="s">
        <v>75</v>
      </c>
      <c r="B40" s="26">
        <v>4756.2192520266299</v>
      </c>
      <c r="C40" s="12" t="s">
        <v>30</v>
      </c>
      <c r="D40" s="12" t="s">
        <v>35</v>
      </c>
      <c r="E40" s="27">
        <f>B40*km2m*pc</f>
        <v>4756219.2520266296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45">
      <c r="A41" s="12" t="s">
        <v>76</v>
      </c>
      <c r="B41" s="26">
        <v>-4.0997357135850203</v>
      </c>
      <c r="C41" s="12" t="s">
        <v>37</v>
      </c>
      <c r="D41" s="12" t="s">
        <v>38</v>
      </c>
      <c r="E41" s="27">
        <f>B41*km2m*vc</f>
        <v>-409973.57135850209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45">
      <c r="A42" s="12" t="s">
        <v>77</v>
      </c>
      <c r="B42" s="26">
        <v>-5.4839966655090704</v>
      </c>
      <c r="C42" s="12" t="s">
        <v>37</v>
      </c>
      <c r="D42" s="12" t="s">
        <v>40</v>
      </c>
      <c r="E42" s="27">
        <f>B42*km2m*vc</f>
        <v>-548399.66655090707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45">
      <c r="A43" s="12" t="s">
        <v>78</v>
      </c>
      <c r="B43" s="26">
        <v>0.685377356840007</v>
      </c>
      <c r="C43" s="12" t="s">
        <v>37</v>
      </c>
      <c r="D43" s="12" t="s">
        <v>42</v>
      </c>
      <c r="E43" s="27">
        <f>B43*km2m*vc</f>
        <v>68537.735684000698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45">
      <c r="A44" s="12" t="s">
        <v>79</v>
      </c>
      <c r="B44" s="28">
        <v>25</v>
      </c>
      <c r="C44" s="12" t="s">
        <v>80</v>
      </c>
      <c r="D44" s="12" t="s">
        <v>81</v>
      </c>
      <c r="E44" s="28">
        <f t="shared" ref="E44:E50" si="0">B44/1000000000*bc</f>
        <v>25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45">
      <c r="A45" s="12" t="s">
        <v>82</v>
      </c>
      <c r="B45" s="28">
        <v>3.23</v>
      </c>
      <c r="C45" s="12" t="s">
        <v>80</v>
      </c>
      <c r="D45" s="12" t="s">
        <v>83</v>
      </c>
      <c r="E45" s="28">
        <f t="shared" si="0"/>
        <v>3.23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45">
      <c r="A46" s="12" t="s">
        <v>84</v>
      </c>
      <c r="B46" s="28">
        <v>-2</v>
      </c>
      <c r="C46" s="12" t="s">
        <v>80</v>
      </c>
      <c r="D46" s="12" t="s">
        <v>85</v>
      </c>
      <c r="E46" s="28">
        <f t="shared" si="0"/>
        <v>-2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45">
      <c r="A47" s="12" t="s">
        <v>86</v>
      </c>
      <c r="B47" s="28">
        <v>-12</v>
      </c>
      <c r="C47" s="12" t="s">
        <v>80</v>
      </c>
      <c r="D47" s="12" t="s">
        <v>87</v>
      </c>
      <c r="E47" s="28">
        <f t="shared" si="0"/>
        <v>-12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45">
      <c r="A48" s="12" t="s">
        <v>88</v>
      </c>
      <c r="B48" s="28">
        <v>24</v>
      </c>
      <c r="C48" s="12" t="s">
        <v>80</v>
      </c>
      <c r="D48" s="12" t="s">
        <v>89</v>
      </c>
      <c r="E48" s="28">
        <f t="shared" si="0"/>
        <v>24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45">
      <c r="A49" s="12" t="s">
        <v>90</v>
      </c>
      <c r="B49" s="28">
        <v>-20</v>
      </c>
      <c r="C49" s="12" t="s">
        <v>80</v>
      </c>
      <c r="D49" s="12" t="s">
        <v>91</v>
      </c>
      <c r="E49" s="28">
        <f t="shared" si="0"/>
        <v>-20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45">
      <c r="A50" s="12" t="s">
        <v>92</v>
      </c>
      <c r="B50" s="28">
        <v>6</v>
      </c>
      <c r="C50" s="12" t="s">
        <v>80</v>
      </c>
      <c r="D50" s="12" t="s">
        <v>93</v>
      </c>
      <c r="E50" s="28">
        <f t="shared" si="0"/>
        <v>6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30" customFormat="1" x14ac:dyDescent="0.45">
      <c r="A51" s="29" t="s">
        <v>94</v>
      </c>
      <c r="B51" s="29">
        <v>7142.8</v>
      </c>
      <c r="C51" s="29" t="s">
        <v>30</v>
      </c>
      <c r="D51" s="29" t="s">
        <v>95</v>
      </c>
      <c r="E51" s="27">
        <f>B51*km2m*pc</f>
        <v>7142800</v>
      </c>
    </row>
    <row r="52" spans="1:1024" s="31" customFormat="1" x14ac:dyDescent="0.45">
      <c r="A52" s="30" t="s">
        <v>96</v>
      </c>
      <c r="B52" s="30">
        <v>4456.8</v>
      </c>
      <c r="C52" s="30" t="s">
        <v>30</v>
      </c>
      <c r="D52" s="29" t="s">
        <v>97</v>
      </c>
      <c r="E52" s="27">
        <f>B52*km2m*pc</f>
        <v>4456800</v>
      </c>
    </row>
    <row r="53" spans="1:1024" x14ac:dyDescent="0.45">
      <c r="A53" s="29" t="s">
        <v>98</v>
      </c>
      <c r="B53" s="29">
        <v>127.434</v>
      </c>
      <c r="C53" s="29" t="s">
        <v>30</v>
      </c>
      <c r="D53" s="29" t="s">
        <v>99</v>
      </c>
      <c r="E53" s="27">
        <f>B53*km2m*pc</f>
        <v>127434</v>
      </c>
      <c r="F53"/>
      <c r="G53"/>
    </row>
    <row r="54" spans="1:1024" x14ac:dyDescent="0.45">
      <c r="A54" s="29" t="s">
        <v>100</v>
      </c>
      <c r="B54" s="29">
        <v>-3.637</v>
      </c>
      <c r="C54" s="29" t="s">
        <v>37</v>
      </c>
      <c r="D54" s="29" t="s">
        <v>101</v>
      </c>
      <c r="E54" s="27">
        <f>B54*km2m*vc</f>
        <v>-363700</v>
      </c>
      <c r="F54"/>
      <c r="G54"/>
    </row>
    <row r="55" spans="1:1024" x14ac:dyDescent="0.45">
      <c r="A55" s="30" t="s">
        <v>102</v>
      </c>
      <c r="B55" s="30">
        <v>5.8120000000000003</v>
      </c>
      <c r="C55" s="30" t="s">
        <v>37</v>
      </c>
      <c r="D55" s="29" t="s">
        <v>103</v>
      </c>
      <c r="E55" s="27">
        <f>B55*km2m*vc</f>
        <v>581200</v>
      </c>
      <c r="F55"/>
      <c r="G55"/>
    </row>
    <row r="56" spans="1:1024" x14ac:dyDescent="0.45">
      <c r="A56" s="29" t="s">
        <v>104</v>
      </c>
      <c r="B56" s="29">
        <v>-0.59060000000000001</v>
      </c>
      <c r="C56" s="29" t="s">
        <v>37</v>
      </c>
      <c r="D56" s="29" t="s">
        <v>105</v>
      </c>
      <c r="E56" s="27">
        <f>B56*km2m*vc</f>
        <v>-59060</v>
      </c>
      <c r="F56" s="29"/>
      <c r="G56" s="32"/>
    </row>
    <row r="57" spans="1:1024" x14ac:dyDescent="0.45">
      <c r="A57" s="12" t="s">
        <v>106</v>
      </c>
      <c r="B57" s="12">
        <v>0.1</v>
      </c>
      <c r="C57" s="12" t="s">
        <v>107</v>
      </c>
      <c r="D57" s="12" t="s">
        <v>108</v>
      </c>
      <c r="E57" s="28">
        <f>B57/1000000000*ac</f>
        <v>1</v>
      </c>
      <c r="F57" s="12"/>
      <c r="G57" s="12"/>
    </row>
    <row r="58" spans="1:1024" x14ac:dyDescent="0.45">
      <c r="A58" s="12" t="s">
        <v>109</v>
      </c>
      <c r="B58" s="12">
        <v>0.2</v>
      </c>
      <c r="C58" s="12" t="s">
        <v>107</v>
      </c>
      <c r="D58" s="12" t="s">
        <v>110</v>
      </c>
      <c r="E58" s="28">
        <f>B58/1000000000*ac</f>
        <v>2</v>
      </c>
      <c r="F58" s="12"/>
      <c r="G58" s="12"/>
    </row>
    <row r="59" spans="1:1024" x14ac:dyDescent="0.45">
      <c r="A59" s="12" t="s">
        <v>111</v>
      </c>
      <c r="B59" s="12">
        <v>0.3</v>
      </c>
      <c r="C59" s="12" t="s">
        <v>107</v>
      </c>
      <c r="D59" s="12" t="s">
        <v>112</v>
      </c>
      <c r="E59" s="28">
        <f>B59/1000000000*ac</f>
        <v>3</v>
      </c>
      <c r="F59" s="12"/>
      <c r="G59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9"/>
  <sheetViews>
    <sheetView zoomScaleNormal="100" workbookViewId="0">
      <selection activeCell="C72" sqref="C72"/>
    </sheetView>
  </sheetViews>
  <sheetFormatPr defaultRowHeight="14.25" x14ac:dyDescent="0.45"/>
  <cols>
    <col min="1" max="1" width="10.796875" style="1"/>
    <col min="2" max="5" width="22.73046875" style="1"/>
    <col min="6" max="1025" width="8.59765625" style="1"/>
  </cols>
  <sheetData>
    <row r="1" spans="1:1024" x14ac:dyDescent="0.45">
      <c r="A1" s="31" t="s">
        <v>113</v>
      </c>
      <c r="B1" s="31" t="s">
        <v>114</v>
      </c>
      <c r="C1" s="31" t="s">
        <v>115</v>
      </c>
      <c r="D1" s="31" t="s">
        <v>116</v>
      </c>
      <c r="E1" s="31" t="s">
        <v>117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3" customFormat="1" x14ac:dyDescent="0.45">
      <c r="A2" s="33" t="s">
        <v>118</v>
      </c>
      <c r="B2" s="33">
        <f>IF(Na&gt;=1,1,0)</f>
        <v>1</v>
      </c>
      <c r="C2" s="33">
        <f t="shared" ref="C2:C15" si="0">B2+2</f>
        <v>3</v>
      </c>
      <c r="D2" s="33">
        <f t="shared" ref="D2:D19" si="1">B2</f>
        <v>1</v>
      </c>
      <c r="E2" s="33">
        <f t="shared" ref="E2:E19" si="2">C2</f>
        <v>3</v>
      </c>
    </row>
    <row r="3" spans="1:1024" s="33" customFormat="1" x14ac:dyDescent="0.45">
      <c r="A3" s="33" t="s">
        <v>119</v>
      </c>
      <c r="B3" s="33">
        <f>C2+1</f>
        <v>4</v>
      </c>
      <c r="C3" s="33">
        <f t="shared" si="0"/>
        <v>6</v>
      </c>
      <c r="D3" s="33">
        <f t="shared" si="1"/>
        <v>4</v>
      </c>
      <c r="E3" s="33">
        <f t="shared" si="2"/>
        <v>6</v>
      </c>
    </row>
    <row r="4" spans="1:1024" x14ac:dyDescent="0.45">
      <c r="A4" s="31" t="s">
        <v>120</v>
      </c>
      <c r="B4" s="33">
        <f>IF(Na&gt;=2,C3+1,0)</f>
        <v>7</v>
      </c>
      <c r="C4" s="33">
        <f t="shared" si="0"/>
        <v>9</v>
      </c>
      <c r="D4" s="33">
        <f t="shared" si="1"/>
        <v>7</v>
      </c>
      <c r="E4" s="33">
        <f t="shared" si="2"/>
        <v>9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45">
      <c r="A5" s="31" t="s">
        <v>121</v>
      </c>
      <c r="B5" s="33">
        <f>C4+1</f>
        <v>10</v>
      </c>
      <c r="C5" s="33">
        <f t="shared" si="0"/>
        <v>12</v>
      </c>
      <c r="D5" s="33">
        <f t="shared" si="1"/>
        <v>10</v>
      </c>
      <c r="E5" s="33">
        <f t="shared" si="2"/>
        <v>12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33" customFormat="1" x14ac:dyDescent="0.45">
      <c r="A6" s="33" t="s">
        <v>122</v>
      </c>
      <c r="B6" s="33">
        <f>IF(Na&gt;=3,C5+1,0)</f>
        <v>13</v>
      </c>
      <c r="C6" s="33">
        <f t="shared" si="0"/>
        <v>15</v>
      </c>
      <c r="D6" s="33">
        <f t="shared" si="1"/>
        <v>13</v>
      </c>
      <c r="E6" s="33">
        <f t="shared" si="2"/>
        <v>15</v>
      </c>
    </row>
    <row r="7" spans="1:1024" s="33" customFormat="1" x14ac:dyDescent="0.45">
      <c r="A7" s="33" t="s">
        <v>123</v>
      </c>
      <c r="B7" s="33">
        <f>C6+1</f>
        <v>16</v>
      </c>
      <c r="C7" s="33">
        <f t="shared" si="0"/>
        <v>18</v>
      </c>
      <c r="D7" s="33">
        <f t="shared" si="1"/>
        <v>16</v>
      </c>
      <c r="E7" s="33">
        <f t="shared" si="2"/>
        <v>18</v>
      </c>
    </row>
    <row r="8" spans="1:1024" x14ac:dyDescent="0.45">
      <c r="A8" s="31" t="s">
        <v>124</v>
      </c>
      <c r="B8" s="33">
        <f>IF(Na&gt;=4,C7+1,0)</f>
        <v>19</v>
      </c>
      <c r="C8" s="33">
        <f t="shared" si="0"/>
        <v>21</v>
      </c>
      <c r="D8" s="33">
        <f t="shared" si="1"/>
        <v>19</v>
      </c>
      <c r="E8" s="33">
        <f t="shared" si="2"/>
        <v>21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45">
      <c r="A9" s="31" t="s">
        <v>125</v>
      </c>
      <c r="B9" s="33">
        <f>C8+1</f>
        <v>22</v>
      </c>
      <c r="C9" s="33">
        <f t="shared" si="0"/>
        <v>24</v>
      </c>
      <c r="D9" s="33">
        <f t="shared" si="1"/>
        <v>22</v>
      </c>
      <c r="E9" s="33">
        <f t="shared" si="2"/>
        <v>24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33" customFormat="1" x14ac:dyDescent="0.45">
      <c r="A10" s="33" t="s">
        <v>126</v>
      </c>
      <c r="B10" s="33">
        <f>IF(Na&gt;=5,C9+1,0)</f>
        <v>0</v>
      </c>
      <c r="C10" s="33">
        <f t="shared" si="0"/>
        <v>2</v>
      </c>
      <c r="D10" s="33">
        <f t="shared" si="1"/>
        <v>0</v>
      </c>
      <c r="E10" s="33">
        <f t="shared" si="2"/>
        <v>2</v>
      </c>
    </row>
    <row r="11" spans="1:1024" s="33" customFormat="1" x14ac:dyDescent="0.45">
      <c r="A11" s="33" t="s">
        <v>127</v>
      </c>
      <c r="B11" s="33">
        <f>C10+1</f>
        <v>3</v>
      </c>
      <c r="C11" s="33">
        <f t="shared" si="0"/>
        <v>5</v>
      </c>
      <c r="D11" s="33">
        <f t="shared" si="1"/>
        <v>3</v>
      </c>
      <c r="E11" s="33">
        <f t="shared" si="2"/>
        <v>5</v>
      </c>
    </row>
    <row r="12" spans="1:1024" x14ac:dyDescent="0.45">
      <c r="A12" s="31" t="s">
        <v>128</v>
      </c>
      <c r="B12" s="33">
        <f>IF(Na&gt;=6,C11+1,0)</f>
        <v>0</v>
      </c>
      <c r="C12" s="33">
        <f t="shared" si="0"/>
        <v>2</v>
      </c>
      <c r="D12" s="33">
        <f t="shared" si="1"/>
        <v>0</v>
      </c>
      <c r="E12" s="33">
        <f t="shared" si="2"/>
        <v>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45">
      <c r="A13" s="31" t="s">
        <v>129</v>
      </c>
      <c r="B13" s="33">
        <f>C12+1</f>
        <v>3</v>
      </c>
      <c r="C13" s="33">
        <f t="shared" si="0"/>
        <v>5</v>
      </c>
      <c r="D13" s="33">
        <f t="shared" si="1"/>
        <v>3</v>
      </c>
      <c r="E13" s="33">
        <f t="shared" si="2"/>
        <v>5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33" customFormat="1" x14ac:dyDescent="0.45">
      <c r="A14" s="33" t="s">
        <v>130</v>
      </c>
      <c r="B14" s="33">
        <f>IF(Na&gt;=7,C13+1,0)</f>
        <v>0</v>
      </c>
      <c r="C14" s="33">
        <f t="shared" si="0"/>
        <v>2</v>
      </c>
      <c r="D14" s="33">
        <f t="shared" si="1"/>
        <v>0</v>
      </c>
      <c r="E14" s="33">
        <f t="shared" si="2"/>
        <v>2</v>
      </c>
    </row>
    <row r="15" spans="1:1024" s="33" customFormat="1" x14ac:dyDescent="0.45">
      <c r="A15" s="33" t="s">
        <v>131</v>
      </c>
      <c r="B15" s="33">
        <f>C14+1</f>
        <v>3</v>
      </c>
      <c r="C15" s="33">
        <f t="shared" si="0"/>
        <v>5</v>
      </c>
      <c r="D15" s="33">
        <f t="shared" si="1"/>
        <v>3</v>
      </c>
      <c r="E15" s="33">
        <f t="shared" si="2"/>
        <v>5</v>
      </c>
    </row>
    <row r="16" spans="1:1024" s="33" customFormat="1" x14ac:dyDescent="0.45">
      <c r="A16" s="33" t="s">
        <v>132</v>
      </c>
      <c r="B16" s="33">
        <f>1+6*Na</f>
        <v>25</v>
      </c>
      <c r="C16" s="33">
        <f>7*Na</f>
        <v>28</v>
      </c>
      <c r="D16" s="33">
        <f t="shared" si="1"/>
        <v>25</v>
      </c>
      <c r="E16" s="33">
        <f t="shared" si="2"/>
        <v>28</v>
      </c>
    </row>
    <row r="17" spans="1:5" x14ac:dyDescent="0.45">
      <c r="A17" s="31" t="s">
        <v>133</v>
      </c>
      <c r="B17" s="31">
        <f>C16+1</f>
        <v>29</v>
      </c>
      <c r="C17" s="31">
        <f>B17+2</f>
        <v>31</v>
      </c>
      <c r="D17" s="33">
        <f t="shared" si="1"/>
        <v>29</v>
      </c>
      <c r="E17" s="33">
        <f t="shared" si="2"/>
        <v>31</v>
      </c>
    </row>
    <row r="18" spans="1:5" x14ac:dyDescent="0.45">
      <c r="A18" s="31" t="s">
        <v>134</v>
      </c>
      <c r="B18" s="31">
        <f>C17+1</f>
        <v>32</v>
      </c>
      <c r="C18" s="31">
        <f>B18+2</f>
        <v>34</v>
      </c>
      <c r="D18" s="33">
        <f t="shared" si="1"/>
        <v>32</v>
      </c>
      <c r="E18" s="33">
        <f t="shared" si="2"/>
        <v>34</v>
      </c>
    </row>
    <row r="19" spans="1:5" x14ac:dyDescent="0.45">
      <c r="A19" s="31" t="s">
        <v>135</v>
      </c>
      <c r="B19" s="31">
        <f>C18+1</f>
        <v>35</v>
      </c>
      <c r="C19" s="31">
        <f>B19+2</f>
        <v>37</v>
      </c>
      <c r="D19" s="33">
        <f t="shared" si="1"/>
        <v>35</v>
      </c>
      <c r="E19" s="33">
        <f t="shared" si="2"/>
        <v>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>
      <selection activeCell="C3" sqref="C3"/>
    </sheetView>
  </sheetViews>
  <sheetFormatPr defaultRowHeight="14.25" x14ac:dyDescent="0.45"/>
  <cols>
    <col min="1" max="1" width="10.796875"/>
    <col min="2" max="3" width="8.59765625"/>
    <col min="4" max="4" width="16.46484375"/>
    <col min="5" max="5" width="16.3984375"/>
    <col min="6" max="1025" width="8.59765625"/>
  </cols>
  <sheetData>
    <row r="1" spans="1:5" x14ac:dyDescent="0.45">
      <c r="A1" t="s">
        <v>113</v>
      </c>
      <c r="B1" t="s">
        <v>114</v>
      </c>
      <c r="C1" t="s">
        <v>115</v>
      </c>
      <c r="D1" t="s">
        <v>116</v>
      </c>
      <c r="E1" t="s">
        <v>117</v>
      </c>
    </row>
    <row r="2" spans="1:5" x14ac:dyDescent="0.45">
      <c r="A2" t="s">
        <v>132</v>
      </c>
      <c r="B2">
        <v>1</v>
      </c>
      <c r="C2">
        <f>Na</f>
        <v>4</v>
      </c>
      <c r="D2">
        <f t="shared" ref="D2:E5" si="0">B2</f>
        <v>1</v>
      </c>
      <c r="E2">
        <f t="shared" si="0"/>
        <v>4</v>
      </c>
    </row>
    <row r="3" spans="1:5" x14ac:dyDescent="0.45">
      <c r="A3" t="s">
        <v>136</v>
      </c>
      <c r="B3">
        <f>C2+1</f>
        <v>5</v>
      </c>
      <c r="C3">
        <f>B3+2</f>
        <v>7</v>
      </c>
      <c r="D3">
        <f t="shared" si="0"/>
        <v>5</v>
      </c>
      <c r="E3">
        <f t="shared" si="0"/>
        <v>7</v>
      </c>
    </row>
    <row r="4" spans="1:5" x14ac:dyDescent="0.45">
      <c r="A4" t="s">
        <v>137</v>
      </c>
      <c r="B4">
        <f>C3+1</f>
        <v>8</v>
      </c>
      <c r="C4">
        <f>B4+2</f>
        <v>10</v>
      </c>
      <c r="D4">
        <f t="shared" si="0"/>
        <v>8</v>
      </c>
      <c r="E4">
        <f t="shared" si="0"/>
        <v>10</v>
      </c>
    </row>
    <row r="5" spans="1:5" x14ac:dyDescent="0.45">
      <c r="A5" t="s">
        <v>135</v>
      </c>
      <c r="B5">
        <f>C4+1</f>
        <v>11</v>
      </c>
      <c r="C5">
        <f>B5+2</f>
        <v>13</v>
      </c>
      <c r="D5">
        <f t="shared" si="0"/>
        <v>11</v>
      </c>
      <c r="E5">
        <f t="shared" si="0"/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zoomScaleNormal="100" workbookViewId="0">
      <selection activeCell="D58" sqref="D58"/>
    </sheetView>
  </sheetViews>
  <sheetFormatPr defaultRowHeight="14.25" x14ac:dyDescent="0.45"/>
  <cols>
    <col min="1" max="1" width="8.86328125"/>
    <col min="2" max="2" width="8.33203125"/>
    <col min="3" max="3" width="10.796875"/>
    <col min="4" max="4" width="36.53125"/>
    <col min="5" max="5" width="16.46484375"/>
    <col min="6" max="6" width="12.1328125"/>
    <col min="7" max="1025" width="8.59765625"/>
  </cols>
  <sheetData>
    <row r="1" spans="1:6" ht="14.45" customHeight="1" x14ac:dyDescent="0.45">
      <c r="A1" s="34" t="s">
        <v>0</v>
      </c>
      <c r="B1" s="35" t="s">
        <v>1</v>
      </c>
      <c r="C1" s="36" t="s">
        <v>2</v>
      </c>
      <c r="D1" s="36" t="s">
        <v>3</v>
      </c>
      <c r="E1" s="37" t="s">
        <v>4</v>
      </c>
      <c r="F1" s="38" t="s">
        <v>138</v>
      </c>
    </row>
    <row r="2" spans="1:6" ht="14.45" customHeight="1" x14ac:dyDescent="0.45">
      <c r="A2" s="21" t="s">
        <v>139</v>
      </c>
      <c r="B2" s="39">
        <v>30</v>
      </c>
      <c r="C2" s="21" t="s">
        <v>80</v>
      </c>
      <c r="D2" s="21" t="s">
        <v>140</v>
      </c>
      <c r="E2" s="40">
        <f t="shared" ref="E2:E8" si="0">B2/3/1000000000*bc</f>
        <v>10</v>
      </c>
      <c r="F2" s="38" t="s">
        <v>80</v>
      </c>
    </row>
    <row r="3" spans="1:6" ht="14.45" customHeight="1" x14ac:dyDescent="0.45">
      <c r="A3" s="21" t="s">
        <v>141</v>
      </c>
      <c r="B3" s="39">
        <v>30</v>
      </c>
      <c r="C3" s="21" t="s">
        <v>80</v>
      </c>
      <c r="D3" s="21" t="s">
        <v>142</v>
      </c>
      <c r="E3" s="40">
        <f t="shared" si="0"/>
        <v>10</v>
      </c>
      <c r="F3" s="41" t="s">
        <v>80</v>
      </c>
    </row>
    <row r="4" spans="1:6" ht="14.45" customHeight="1" x14ac:dyDescent="0.45">
      <c r="A4" s="21" t="s">
        <v>143</v>
      </c>
      <c r="B4" s="39">
        <v>30</v>
      </c>
      <c r="C4" s="21" t="s">
        <v>80</v>
      </c>
      <c r="D4" s="21" t="s">
        <v>144</v>
      </c>
      <c r="E4" s="40">
        <f t="shared" si="0"/>
        <v>10</v>
      </c>
      <c r="F4" s="38" t="s">
        <v>80</v>
      </c>
    </row>
    <row r="5" spans="1:6" ht="14.45" customHeight="1" x14ac:dyDescent="0.45">
      <c r="A5" s="21" t="s">
        <v>145</v>
      </c>
      <c r="B5" s="39">
        <v>30</v>
      </c>
      <c r="C5" s="21" t="s">
        <v>80</v>
      </c>
      <c r="D5" s="21" t="s">
        <v>146</v>
      </c>
      <c r="E5" s="40">
        <f t="shared" si="0"/>
        <v>10</v>
      </c>
      <c r="F5" s="38" t="s">
        <v>80</v>
      </c>
    </row>
    <row r="6" spans="1:6" ht="14.45" customHeight="1" x14ac:dyDescent="0.45">
      <c r="A6" s="21" t="s">
        <v>147</v>
      </c>
      <c r="B6" s="39">
        <v>30</v>
      </c>
      <c r="C6" s="21" t="s">
        <v>80</v>
      </c>
      <c r="D6" s="21" t="s">
        <v>148</v>
      </c>
      <c r="E6" s="40">
        <f t="shared" si="0"/>
        <v>10</v>
      </c>
      <c r="F6" s="38" t="s">
        <v>80</v>
      </c>
    </row>
    <row r="7" spans="1:6" ht="14.45" customHeight="1" x14ac:dyDescent="0.45">
      <c r="A7" s="21" t="s">
        <v>149</v>
      </c>
      <c r="B7" s="39">
        <v>30</v>
      </c>
      <c r="C7" s="21" t="s">
        <v>80</v>
      </c>
      <c r="D7" s="21" t="s">
        <v>150</v>
      </c>
      <c r="E7" s="40">
        <f t="shared" si="0"/>
        <v>10</v>
      </c>
      <c r="F7" s="38" t="s">
        <v>80</v>
      </c>
    </row>
    <row r="8" spans="1:6" ht="14.45" customHeight="1" x14ac:dyDescent="0.45">
      <c r="A8" s="21" t="s">
        <v>151</v>
      </c>
      <c r="B8" s="39">
        <v>30</v>
      </c>
      <c r="C8" s="21" t="s">
        <v>80</v>
      </c>
      <c r="D8" s="21" t="s">
        <v>152</v>
      </c>
      <c r="E8" s="40">
        <f t="shared" si="0"/>
        <v>10</v>
      </c>
      <c r="F8" s="38" t="s">
        <v>80</v>
      </c>
    </row>
    <row r="9" spans="1:6" ht="14.45" customHeight="1" x14ac:dyDescent="0.45">
      <c r="A9" s="21" t="s">
        <v>153</v>
      </c>
      <c r="B9" s="42">
        <v>4.7999999999999996E-7</v>
      </c>
      <c r="C9" s="21" t="s">
        <v>154</v>
      </c>
      <c r="D9" s="21" t="s">
        <v>155</v>
      </c>
      <c r="E9" s="43">
        <f>B9/3*vc^2</f>
        <v>1.5999999999999999E-3</v>
      </c>
      <c r="F9" s="38" t="s">
        <v>156</v>
      </c>
    </row>
    <row r="10" spans="1:6" ht="14.45" customHeight="1" x14ac:dyDescent="0.45">
      <c r="A10" s="21" t="s">
        <v>157</v>
      </c>
      <c r="B10" s="42">
        <v>4.7999999999999996E-7</v>
      </c>
      <c r="C10" s="21" t="s">
        <v>154</v>
      </c>
      <c r="D10" s="21" t="s">
        <v>158</v>
      </c>
      <c r="E10" s="43">
        <f>B10/3*vc^2</f>
        <v>1.5999999999999999E-3</v>
      </c>
      <c r="F10" s="38" t="s">
        <v>156</v>
      </c>
    </row>
    <row r="11" spans="1:6" ht="14.45" customHeight="1" x14ac:dyDescent="0.45">
      <c r="A11" s="21" t="s">
        <v>159</v>
      </c>
      <c r="B11" s="42">
        <v>4.7999999999999996E-7</v>
      </c>
      <c r="C11" s="21" t="s">
        <v>154</v>
      </c>
      <c r="D11" s="21" t="s">
        <v>160</v>
      </c>
      <c r="E11" s="43">
        <f>B11/3*vc^2</f>
        <v>1.5999999999999999E-3</v>
      </c>
      <c r="F11" s="38" t="s">
        <v>156</v>
      </c>
    </row>
    <row r="12" spans="1:6" ht="14.45" customHeight="1" x14ac:dyDescent="0.45">
      <c r="A12" s="21" t="s">
        <v>161</v>
      </c>
      <c r="B12" s="39">
        <v>1</v>
      </c>
      <c r="C12" s="21" t="s">
        <v>107</v>
      </c>
      <c r="D12" s="21" t="s">
        <v>162</v>
      </c>
      <c r="E12" s="44">
        <f>B12/3/1000000000*ac</f>
        <v>3.333333333333333</v>
      </c>
      <c r="F12" s="38" t="s">
        <v>163</v>
      </c>
    </row>
    <row r="13" spans="1:6" ht="14.45" customHeight="1" x14ac:dyDescent="0.45">
      <c r="A13" s="21" t="s">
        <v>164</v>
      </c>
      <c r="B13" s="39">
        <v>1</v>
      </c>
      <c r="C13" s="21" t="s">
        <v>107</v>
      </c>
      <c r="D13" s="21" t="s">
        <v>165</v>
      </c>
      <c r="E13" s="44">
        <f>B13/3/1000000000*ac</f>
        <v>3.333333333333333</v>
      </c>
      <c r="F13" s="38" t="s">
        <v>163</v>
      </c>
    </row>
    <row r="14" spans="1:6" ht="14.45" customHeight="1" x14ac:dyDescent="0.45">
      <c r="A14" s="21" t="s">
        <v>166</v>
      </c>
      <c r="B14" s="39">
        <v>1</v>
      </c>
      <c r="C14" s="21" t="s">
        <v>107</v>
      </c>
      <c r="D14" s="21" t="s">
        <v>167</v>
      </c>
      <c r="E14" s="44">
        <f>B14/3/1000000000*ac</f>
        <v>3.333333333333333</v>
      </c>
      <c r="F14" s="38" t="s">
        <v>163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7"/>
  <sheetViews>
    <sheetView zoomScaleNormal="100" workbookViewId="0">
      <selection activeCell="E22" sqref="E22"/>
    </sheetView>
  </sheetViews>
  <sheetFormatPr defaultRowHeight="14.25" x14ac:dyDescent="0.45"/>
  <cols>
    <col min="1" max="1" width="9.33203125" style="21"/>
    <col min="2" max="2" width="9.53125" style="21"/>
    <col min="3" max="3" width="8" style="21"/>
    <col min="4" max="4" width="31.1328125" style="21"/>
    <col min="5" max="5" width="16.46484375" style="45"/>
    <col min="6" max="6" width="19.796875" style="21"/>
    <col min="7" max="1025" width="9.06640625" style="21"/>
  </cols>
  <sheetData>
    <row r="1" spans="1:6" x14ac:dyDescent="0.45">
      <c r="A1" s="34" t="s">
        <v>0</v>
      </c>
      <c r="B1" s="35" t="s">
        <v>1</v>
      </c>
      <c r="C1" s="36" t="s">
        <v>2</v>
      </c>
      <c r="D1" s="36" t="s">
        <v>3</v>
      </c>
      <c r="E1" s="37" t="s">
        <v>4</v>
      </c>
      <c r="F1" s="21" t="s">
        <v>168</v>
      </c>
    </row>
    <row r="2" spans="1:6" ht="14.45" customHeight="1" x14ac:dyDescent="0.45">
      <c r="A2" s="21" t="s">
        <v>169</v>
      </c>
      <c r="B2" s="39">
        <f>truthStateParams!B2</f>
        <v>30</v>
      </c>
      <c r="C2" s="21" t="s">
        <v>80</v>
      </c>
      <c r="D2" s="21" t="s">
        <v>170</v>
      </c>
      <c r="E2" s="45">
        <f t="shared" ref="E2:E8" si="0">B2/3/1000000000*bc</f>
        <v>10</v>
      </c>
      <c r="F2" s="21" t="s">
        <v>80</v>
      </c>
    </row>
    <row r="3" spans="1:6" ht="14.45" customHeight="1" x14ac:dyDescent="0.45">
      <c r="A3" s="21" t="s">
        <v>171</v>
      </c>
      <c r="B3" s="39">
        <f>truthStateParams!B3</f>
        <v>30</v>
      </c>
      <c r="C3" s="21" t="s">
        <v>80</v>
      </c>
      <c r="D3" s="21" t="s">
        <v>172</v>
      </c>
      <c r="E3" s="45">
        <f t="shared" si="0"/>
        <v>10</v>
      </c>
      <c r="F3" s="21" t="s">
        <v>80</v>
      </c>
    </row>
    <row r="4" spans="1:6" ht="14.45" customHeight="1" x14ac:dyDescent="0.45">
      <c r="A4" s="21" t="s">
        <v>173</v>
      </c>
      <c r="B4" s="39">
        <f>truthStateParams!B4</f>
        <v>30</v>
      </c>
      <c r="C4" s="21" t="s">
        <v>80</v>
      </c>
      <c r="D4" s="21" t="s">
        <v>174</v>
      </c>
      <c r="E4" s="45">
        <f t="shared" si="0"/>
        <v>10</v>
      </c>
      <c r="F4" s="21" t="s">
        <v>80</v>
      </c>
    </row>
    <row r="5" spans="1:6" ht="14.45" customHeight="1" x14ac:dyDescent="0.45">
      <c r="A5" s="21" t="s">
        <v>175</v>
      </c>
      <c r="B5" s="39">
        <f>truthStateParams!B5</f>
        <v>30</v>
      </c>
      <c r="C5" s="21" t="s">
        <v>80</v>
      </c>
      <c r="D5" s="21" t="s">
        <v>176</v>
      </c>
      <c r="E5" s="45">
        <f t="shared" si="0"/>
        <v>10</v>
      </c>
      <c r="F5" s="21" t="s">
        <v>80</v>
      </c>
    </row>
    <row r="6" spans="1:6" ht="14.45" customHeight="1" x14ac:dyDescent="0.45">
      <c r="A6" s="21" t="s">
        <v>177</v>
      </c>
      <c r="B6" s="39">
        <f>truthStateParams!B6</f>
        <v>30</v>
      </c>
      <c r="C6" s="21" t="s">
        <v>80</v>
      </c>
      <c r="D6" s="21" t="s">
        <v>178</v>
      </c>
      <c r="E6" s="45">
        <f t="shared" si="0"/>
        <v>10</v>
      </c>
      <c r="F6" s="21" t="s">
        <v>80</v>
      </c>
    </row>
    <row r="7" spans="1:6" ht="14.45" customHeight="1" x14ac:dyDescent="0.45">
      <c r="A7" s="21" t="s">
        <v>179</v>
      </c>
      <c r="B7" s="39">
        <f>truthStateParams!B7</f>
        <v>30</v>
      </c>
      <c r="C7" s="21" t="s">
        <v>80</v>
      </c>
      <c r="D7" s="21" t="s">
        <v>180</v>
      </c>
      <c r="E7" s="45">
        <f t="shared" si="0"/>
        <v>10</v>
      </c>
      <c r="F7" s="21" t="s">
        <v>80</v>
      </c>
    </row>
    <row r="8" spans="1:6" ht="14.45" customHeight="1" x14ac:dyDescent="0.45">
      <c r="A8" s="21" t="s">
        <v>181</v>
      </c>
      <c r="B8" s="39">
        <f>truthStateParams!B8</f>
        <v>30</v>
      </c>
      <c r="C8" s="21" t="s">
        <v>80</v>
      </c>
      <c r="D8" s="21" t="s">
        <v>182</v>
      </c>
      <c r="E8" s="45">
        <f t="shared" si="0"/>
        <v>10</v>
      </c>
      <c r="F8" s="21" t="s">
        <v>80</v>
      </c>
    </row>
    <row r="9" spans="1:6" x14ac:dyDescent="0.45">
      <c r="A9" s="21" t="s">
        <v>183</v>
      </c>
      <c r="B9" s="46">
        <f>0.00000006*SpeedOfLight/km2m</f>
        <v>1.7987547480000001E-2</v>
      </c>
      <c r="C9" s="21" t="s">
        <v>30</v>
      </c>
      <c r="D9" s="21" t="s">
        <v>184</v>
      </c>
      <c r="E9" s="45">
        <f>B9/3*km2m*pc</f>
        <v>5.9958491600000006</v>
      </c>
      <c r="F9" s="21" t="s">
        <v>185</v>
      </c>
    </row>
    <row r="10" spans="1:6" x14ac:dyDescent="0.45">
      <c r="A10" s="21" t="s">
        <v>186</v>
      </c>
      <c r="B10" s="46">
        <f>0.00000006*SpeedOfLight/km2m</f>
        <v>1.7987547480000001E-2</v>
      </c>
      <c r="C10" s="21" t="s">
        <v>30</v>
      </c>
      <c r="D10" s="21" t="s">
        <v>187</v>
      </c>
      <c r="E10" s="45">
        <f>B10/3*km2m*pc</f>
        <v>5.9958491600000006</v>
      </c>
      <c r="F10" s="21" t="s">
        <v>185</v>
      </c>
    </row>
    <row r="11" spans="1:6" x14ac:dyDescent="0.45">
      <c r="A11" s="21" t="s">
        <v>188</v>
      </c>
      <c r="B11" s="46">
        <f>0.00000006*SpeedOfLight/km2m</f>
        <v>1.7987547480000001E-2</v>
      </c>
      <c r="C11" s="21" t="s">
        <v>30</v>
      </c>
      <c r="D11" s="21" t="s">
        <v>189</v>
      </c>
      <c r="E11" s="45">
        <f>B11/3*km2m*pc</f>
        <v>5.9958491600000006</v>
      </c>
      <c r="F11" s="21" t="s">
        <v>185</v>
      </c>
    </row>
    <row r="12" spans="1:6" x14ac:dyDescent="0.45">
      <c r="A12" s="21" t="s">
        <v>190</v>
      </c>
      <c r="B12" s="46">
        <v>1.5300000000000001E-4</v>
      </c>
      <c r="C12" s="21" t="s">
        <v>37</v>
      </c>
      <c r="D12" s="21" t="s">
        <v>191</v>
      </c>
      <c r="E12" s="44">
        <f>B12/3*km2m*vc</f>
        <v>5.0999999999999996</v>
      </c>
      <c r="F12" s="21" t="s">
        <v>192</v>
      </c>
    </row>
    <row r="13" spans="1:6" x14ac:dyDescent="0.45">
      <c r="A13" s="21" t="s">
        <v>193</v>
      </c>
      <c r="B13" s="46">
        <v>1.5300000000000001E-4</v>
      </c>
      <c r="C13" s="21" t="s">
        <v>37</v>
      </c>
      <c r="D13" s="21" t="s">
        <v>194</v>
      </c>
      <c r="E13" s="44">
        <f>B13/3*km2m*vc</f>
        <v>5.0999999999999996</v>
      </c>
      <c r="F13" s="21" t="s">
        <v>192</v>
      </c>
    </row>
    <row r="14" spans="1:6" x14ac:dyDescent="0.45">
      <c r="A14" s="21" t="s">
        <v>195</v>
      </c>
      <c r="B14" s="46">
        <v>1.5300000000000001E-4</v>
      </c>
      <c r="C14" s="21" t="s">
        <v>37</v>
      </c>
      <c r="D14" s="21" t="s">
        <v>196</v>
      </c>
      <c r="E14" s="44">
        <f>B14/3*km2m*vc</f>
        <v>5.0999999999999996</v>
      </c>
      <c r="F14" s="21" t="s">
        <v>192</v>
      </c>
    </row>
    <row r="15" spans="1:6" x14ac:dyDescent="0.45">
      <c r="A15" s="21" t="s">
        <v>197</v>
      </c>
      <c r="B15" s="39">
        <f>truthStateParams!B12</f>
        <v>1</v>
      </c>
      <c r="C15" s="21" t="s">
        <v>107</v>
      </c>
      <c r="D15" s="21" t="s">
        <v>162</v>
      </c>
      <c r="E15" s="45">
        <f>B15/3/1000000000*ac</f>
        <v>3.333333333333333</v>
      </c>
      <c r="F15" s="21" t="s">
        <v>163</v>
      </c>
    </row>
    <row r="16" spans="1:6" x14ac:dyDescent="0.45">
      <c r="A16" s="21" t="s">
        <v>198</v>
      </c>
      <c r="B16" s="39">
        <f>truthStateParams!B13</f>
        <v>1</v>
      </c>
      <c r="C16" s="21" t="s">
        <v>107</v>
      </c>
      <c r="D16" s="21" t="s">
        <v>165</v>
      </c>
      <c r="E16" s="45">
        <f>B16/3/1000000000*ac</f>
        <v>3.333333333333333</v>
      </c>
      <c r="F16" s="21" t="s">
        <v>163</v>
      </c>
    </row>
    <row r="17" spans="1:6" x14ac:dyDescent="0.45">
      <c r="A17" s="21" t="s">
        <v>199</v>
      </c>
      <c r="B17" s="39">
        <f>truthStateParams!B14</f>
        <v>1</v>
      </c>
      <c r="C17" s="21" t="s">
        <v>107</v>
      </c>
      <c r="D17" s="21" t="s">
        <v>167</v>
      </c>
      <c r="E17" s="45">
        <f>B17/3/1000000000*ac</f>
        <v>3.333333333333333</v>
      </c>
      <c r="F17" s="21" t="s">
        <v>163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7"/>
  <sheetViews>
    <sheetView zoomScaleNormal="100" workbookViewId="0">
      <selection activeCell="E9" sqref="E9"/>
    </sheetView>
  </sheetViews>
  <sheetFormatPr defaultRowHeight="14.25" x14ac:dyDescent="0.45"/>
  <cols>
    <col min="1" max="1" width="8.86328125" style="21"/>
    <col min="2" max="2" width="9.73046875" style="45"/>
    <col min="3" max="3" width="10.796875" style="21"/>
    <col min="4" max="4" width="36.19921875" style="21"/>
    <col min="5" max="5" width="16.46484375" style="45"/>
    <col min="6" max="6" width="28.46484375" style="21"/>
    <col min="7" max="1025" width="9.06640625" style="21"/>
  </cols>
  <sheetData>
    <row r="1" spans="1:6" ht="14.45" customHeight="1" x14ac:dyDescent="0.45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31"/>
    </row>
    <row r="2" spans="1:6" ht="14.45" customHeight="1" x14ac:dyDescent="0.45">
      <c r="A2" s="10" t="str">
        <f>truthStateParams!A2</f>
        <v>sig_b1_ss</v>
      </c>
      <c r="B2" s="51">
        <f>truthStateParams!B2</f>
        <v>30</v>
      </c>
      <c r="C2" s="12" t="str">
        <f>truthStateParams!C2</f>
        <v>ns</v>
      </c>
      <c r="D2" s="12" t="str">
        <f>truthStateParams!D2</f>
        <v>3-sigma bias propagation noise of asset 1</v>
      </c>
      <c r="E2" s="28">
        <f>truthStateParams!E2</f>
        <v>10</v>
      </c>
      <c r="F2" s="52"/>
    </row>
    <row r="3" spans="1:6" ht="14.45" customHeight="1" x14ac:dyDescent="0.45">
      <c r="A3" s="10" t="str">
        <f>truthStateParams!A3</f>
        <v>sig_b2_ss</v>
      </c>
      <c r="B3" s="51">
        <f>truthStateParams!B3</f>
        <v>30</v>
      </c>
      <c r="C3" s="12" t="str">
        <f>truthStateParams!C3</f>
        <v>ns</v>
      </c>
      <c r="D3" s="12" t="str">
        <f>truthStateParams!D3</f>
        <v>3-sigma bias propagation noise of asset 2</v>
      </c>
      <c r="E3" s="28">
        <f>truthStateParams!E3</f>
        <v>10</v>
      </c>
      <c r="F3" s="52"/>
    </row>
    <row r="4" spans="1:6" ht="14.45" customHeight="1" x14ac:dyDescent="0.45">
      <c r="A4" s="10" t="str">
        <f>truthStateParams!A4</f>
        <v>sig_b3_ss</v>
      </c>
      <c r="B4" s="51">
        <f>truthStateParams!B4</f>
        <v>30</v>
      </c>
      <c r="C4" s="12" t="str">
        <f>truthStateParams!C4</f>
        <v>ns</v>
      </c>
      <c r="D4" s="12" t="str">
        <f>truthStateParams!D4</f>
        <v>3-sigma bias propagation noise of asset 3</v>
      </c>
      <c r="E4" s="28">
        <f>truthStateParams!E4</f>
        <v>10</v>
      </c>
      <c r="F4" s="52"/>
    </row>
    <row r="5" spans="1:6" ht="14.45" customHeight="1" x14ac:dyDescent="0.45">
      <c r="A5" s="10" t="str">
        <f>truthStateParams!A5</f>
        <v>sig_b4_ss</v>
      </c>
      <c r="B5" s="51">
        <f>truthStateParams!B5</f>
        <v>30</v>
      </c>
      <c r="C5" s="12" t="str">
        <f>truthStateParams!C5</f>
        <v>ns</v>
      </c>
      <c r="D5" s="12" t="str">
        <f>truthStateParams!D5</f>
        <v>3-sigma bias propagation noise of asset 4</v>
      </c>
      <c r="E5" s="28">
        <f>truthStateParams!E5</f>
        <v>10</v>
      </c>
      <c r="F5" s="52"/>
    </row>
    <row r="6" spans="1:6" ht="14.45" customHeight="1" x14ac:dyDescent="0.45">
      <c r="A6" s="10" t="str">
        <f>truthStateParams!A6</f>
        <v>sig_b5_ss</v>
      </c>
      <c r="B6" s="51">
        <f>truthStateParams!B6</f>
        <v>30</v>
      </c>
      <c r="C6" s="12" t="str">
        <f>truthStateParams!C6</f>
        <v>ns</v>
      </c>
      <c r="D6" s="12" t="str">
        <f>truthStateParams!D6</f>
        <v>3-sigma bias propagation noise of asset 5</v>
      </c>
      <c r="E6" s="28">
        <f>truthStateParams!E6</f>
        <v>10</v>
      </c>
    </row>
    <row r="7" spans="1:6" ht="14.45" customHeight="1" x14ac:dyDescent="0.45">
      <c r="A7" s="10" t="str">
        <f>truthStateParams!A7</f>
        <v>sig_b6_ss</v>
      </c>
      <c r="B7" s="51">
        <f>truthStateParams!B7</f>
        <v>30</v>
      </c>
      <c r="C7" s="12" t="str">
        <f>truthStateParams!C7</f>
        <v>ns</v>
      </c>
      <c r="D7" s="12" t="str">
        <f>truthStateParams!D7</f>
        <v>3-sigma bias propagation noise of asset 6</v>
      </c>
      <c r="E7" s="28">
        <f>truthStateParams!E7</f>
        <v>10</v>
      </c>
    </row>
    <row r="8" spans="1:6" ht="14.45" customHeight="1" x14ac:dyDescent="0.45">
      <c r="A8" s="10" t="str">
        <f>truthStateParams!A8</f>
        <v>sig_b7_ss</v>
      </c>
      <c r="B8" s="51">
        <f>truthStateParams!B8</f>
        <v>30</v>
      </c>
      <c r="C8" s="12" t="str">
        <f>truthStateParams!C8</f>
        <v>ns</v>
      </c>
      <c r="D8" s="12" t="str">
        <f>truthStateParams!D8</f>
        <v>3-sigma bias propagation noise of asset 7</v>
      </c>
      <c r="E8" s="28">
        <f>truthStateParams!E8</f>
        <v>10</v>
      </c>
    </row>
    <row r="9" spans="1:6" ht="14.45" customHeight="1" x14ac:dyDescent="0.45">
      <c r="A9" s="10" t="str">
        <f>truthStateParams!A9</f>
        <v>Q_grav_x</v>
      </c>
      <c r="B9" s="53">
        <f>truthStateParams!B9</f>
        <v>4.7999999999999996E-7</v>
      </c>
      <c r="C9" s="12" t="str">
        <f>truthStateParams!C9</f>
        <v>m^2/sec^3</v>
      </c>
      <c r="D9" s="12" t="str">
        <f>truthStateParams!D9</f>
        <v>3-sigma of RSO x accelerations</v>
      </c>
      <c r="E9" s="27">
        <f>truthStateParams!E9</f>
        <v>1.5999999999999999E-3</v>
      </c>
    </row>
    <row r="10" spans="1:6" ht="14.45" customHeight="1" x14ac:dyDescent="0.45">
      <c r="A10" s="10" t="str">
        <f>truthStateParams!A10</f>
        <v>Q_grav_y</v>
      </c>
      <c r="B10" s="53">
        <f>truthStateParams!B10</f>
        <v>4.7999999999999996E-7</v>
      </c>
      <c r="C10" s="12" t="str">
        <f>truthStateParams!C10</f>
        <v>m^2/sec^3</v>
      </c>
      <c r="D10" s="12" t="str">
        <f>truthStateParams!D10</f>
        <v>3-sigma of RSO y accelerations</v>
      </c>
      <c r="E10" s="27">
        <f>truthStateParams!E10</f>
        <v>1.5999999999999999E-3</v>
      </c>
    </row>
    <row r="11" spans="1:6" ht="14.45" customHeight="1" x14ac:dyDescent="0.45">
      <c r="A11" s="10" t="str">
        <f>truthStateParams!A11</f>
        <v>Q_grav_z</v>
      </c>
      <c r="B11" s="53">
        <f>truthStateParams!B11</f>
        <v>4.7999999999999996E-7</v>
      </c>
      <c r="C11" s="12" t="str">
        <f>truthStateParams!C11</f>
        <v>m^2/sec^3</v>
      </c>
      <c r="D11" s="12" t="str">
        <f>truthStateParams!D11</f>
        <v>3-sigma of RSO z accelerations</v>
      </c>
      <c r="E11" s="27">
        <f>truthStateParams!E11</f>
        <v>1.5999999999999999E-3</v>
      </c>
    </row>
    <row r="12" spans="1:6" ht="14.45" customHeight="1" x14ac:dyDescent="0.45">
      <c r="A12" s="10" t="str">
        <f>truthStateParams!A12</f>
        <v>sig_ax_ss</v>
      </c>
      <c r="B12" s="51">
        <f>truthStateParams!B12</f>
        <v>1</v>
      </c>
      <c r="C12" s="12" t="str">
        <f>truthStateParams!C12</f>
        <v>nm/s^2</v>
      </c>
      <c r="D12" s="12" t="str">
        <f>truthStateParams!D12</f>
        <v>3-sigma of RSO x atmo acceleration</v>
      </c>
      <c r="E12" s="28">
        <f>truthStateParams!E12</f>
        <v>3.333333333333333</v>
      </c>
    </row>
    <row r="13" spans="1:6" ht="14.45" customHeight="1" x14ac:dyDescent="0.45">
      <c r="A13" s="10" t="str">
        <f>truthStateParams!A13</f>
        <v>sig_ay_ss</v>
      </c>
      <c r="B13" s="51">
        <f>truthStateParams!B13</f>
        <v>1</v>
      </c>
      <c r="C13" s="12" t="str">
        <f>truthStateParams!C13</f>
        <v>nm/s^2</v>
      </c>
      <c r="D13" s="12" t="str">
        <f>truthStateParams!D13</f>
        <v>3-sigma of RSO y atmo acceleration</v>
      </c>
      <c r="E13" s="28">
        <f>truthStateParams!E13</f>
        <v>3.333333333333333</v>
      </c>
    </row>
    <row r="14" spans="1:6" ht="14.45" customHeight="1" x14ac:dyDescent="0.45">
      <c r="A14" s="10" t="str">
        <f>truthStateParams!A14</f>
        <v>sig_az_ss</v>
      </c>
      <c r="B14" s="51">
        <f>truthStateParams!B14</f>
        <v>1</v>
      </c>
      <c r="C14" s="12" t="str">
        <f>truthStateParams!C14</f>
        <v>nm/s^2</v>
      </c>
      <c r="D14" s="12" t="str">
        <f>truthStateParams!D14</f>
        <v>3-sigma of RSO z atmo acceleration</v>
      </c>
      <c r="E14" s="28">
        <f>truthStateParams!E14</f>
        <v>3.333333333333333</v>
      </c>
    </row>
    <row r="15" spans="1:6" ht="14.45" customHeight="1" x14ac:dyDescent="0.45">
      <c r="A15" s="10"/>
      <c r="B15" s="53"/>
      <c r="C15" s="12"/>
      <c r="D15" s="12"/>
      <c r="E15" s="27"/>
    </row>
    <row r="16" spans="1:6" ht="14.45" customHeight="1" x14ac:dyDescent="0.45">
      <c r="A16" s="10"/>
      <c r="B16" s="53"/>
      <c r="C16" s="12"/>
      <c r="D16" s="12"/>
      <c r="E16" s="27"/>
    </row>
    <row r="17" spans="1:5" ht="14.45" customHeight="1" x14ac:dyDescent="0.45">
      <c r="A17" s="10"/>
      <c r="B17" s="53"/>
      <c r="C17" s="12"/>
      <c r="D17" s="12"/>
      <c r="E17" s="2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9"/>
  <sheetViews>
    <sheetView zoomScaleNormal="100" workbookViewId="0">
      <selection activeCell="E9" sqref="E9"/>
    </sheetView>
  </sheetViews>
  <sheetFormatPr defaultRowHeight="14.25" x14ac:dyDescent="0.45"/>
  <cols>
    <col min="1" max="1" width="9.33203125" style="21"/>
    <col min="2" max="2" width="9.73046875" style="21"/>
    <col min="3" max="3" width="8" style="21"/>
    <col min="4" max="4" width="31.3984375" style="21"/>
    <col min="5" max="5" width="13.9296875" style="45"/>
    <col min="6" max="6" width="16.46484375" style="21"/>
    <col min="7" max="1025" width="9.06640625" style="21"/>
  </cols>
  <sheetData>
    <row r="1" spans="1:6" x14ac:dyDescent="0.45">
      <c r="A1" s="47" t="s">
        <v>0</v>
      </c>
      <c r="B1" s="54" t="s">
        <v>1</v>
      </c>
      <c r="C1" s="49" t="s">
        <v>2</v>
      </c>
      <c r="D1" s="49" t="s">
        <v>3</v>
      </c>
      <c r="E1" s="5" t="s">
        <v>4</v>
      </c>
      <c r="F1" s="31"/>
    </row>
    <row r="2" spans="1:6" ht="14.45" customHeight="1" x14ac:dyDescent="0.45">
      <c r="A2" s="10" t="str">
        <f>truthStateInitialUncertainty!A2</f>
        <v>sig_b1</v>
      </c>
      <c r="B2" s="28">
        <f>truthStateInitialUncertainty!B2</f>
        <v>30</v>
      </c>
      <c r="C2" s="12" t="str">
        <f>truthStateInitialUncertainty!C2</f>
        <v>ns</v>
      </c>
      <c r="D2" s="12" t="str">
        <f>truthStateInitialUncertainty!D2</f>
        <v>3-sigma clocking bias of asset 1</v>
      </c>
      <c r="E2" s="28">
        <f>truthStateInitialUncertainty!E2</f>
        <v>10</v>
      </c>
      <c r="F2" s="52"/>
    </row>
    <row r="3" spans="1:6" ht="14.45" customHeight="1" x14ac:dyDescent="0.45">
      <c r="A3" s="10" t="str">
        <f>truthStateInitialUncertainty!A3</f>
        <v>sig_b2</v>
      </c>
      <c r="B3" s="28">
        <f>truthStateInitialUncertainty!B3</f>
        <v>30</v>
      </c>
      <c r="C3" s="12" t="str">
        <f>truthStateInitialUncertainty!C3</f>
        <v>ns</v>
      </c>
      <c r="D3" s="12" t="str">
        <f>truthStateInitialUncertainty!D3</f>
        <v>3-sigma clocking bias of asset 2</v>
      </c>
      <c r="E3" s="28">
        <f>truthStateInitialUncertainty!E3</f>
        <v>10</v>
      </c>
      <c r="F3" s="52"/>
    </row>
    <row r="4" spans="1:6" ht="14.45" customHeight="1" x14ac:dyDescent="0.45">
      <c r="A4" s="10" t="str">
        <f>truthStateInitialUncertainty!A4</f>
        <v>sig_b3</v>
      </c>
      <c r="B4" s="28">
        <f>truthStateInitialUncertainty!B4</f>
        <v>30</v>
      </c>
      <c r="C4" s="12" t="str">
        <f>truthStateInitialUncertainty!C4</f>
        <v>ns</v>
      </c>
      <c r="D4" s="12" t="str">
        <f>truthStateInitialUncertainty!D4</f>
        <v>3-sigma clocking bias of asset 3</v>
      </c>
      <c r="E4" s="28">
        <f>truthStateInitialUncertainty!E4</f>
        <v>10</v>
      </c>
      <c r="F4" s="52"/>
    </row>
    <row r="5" spans="1:6" ht="14.45" customHeight="1" x14ac:dyDescent="0.45">
      <c r="A5" s="10" t="str">
        <f>truthStateInitialUncertainty!A5</f>
        <v>sig_b4</v>
      </c>
      <c r="B5" s="28">
        <f>truthStateInitialUncertainty!B5</f>
        <v>30</v>
      </c>
      <c r="C5" s="12" t="str">
        <f>truthStateInitialUncertainty!C5</f>
        <v>ns</v>
      </c>
      <c r="D5" s="12" t="str">
        <f>truthStateInitialUncertainty!D5</f>
        <v>3-sigma clocking bias of asset 4</v>
      </c>
      <c r="E5" s="28">
        <f>truthStateInitialUncertainty!E5</f>
        <v>10</v>
      </c>
      <c r="F5" s="52"/>
    </row>
    <row r="6" spans="1:6" ht="14.45" customHeight="1" x14ac:dyDescent="0.45">
      <c r="A6" s="10" t="str">
        <f>truthStateInitialUncertainty!A6</f>
        <v>sig_b5</v>
      </c>
      <c r="B6" s="28">
        <f>truthStateInitialUncertainty!B6</f>
        <v>30</v>
      </c>
      <c r="C6" s="12" t="str">
        <f>truthStateInitialUncertainty!C6</f>
        <v>ns</v>
      </c>
      <c r="D6" s="12" t="str">
        <f>truthStateInitialUncertainty!D6</f>
        <v>3-sigma clocking bias of asset 5</v>
      </c>
      <c r="E6" s="28">
        <f>truthStateInitialUncertainty!E6</f>
        <v>10</v>
      </c>
    </row>
    <row r="7" spans="1:6" ht="14.45" customHeight="1" x14ac:dyDescent="0.45">
      <c r="A7" s="10" t="str">
        <f>truthStateInitialUncertainty!A7</f>
        <v>sig_b6</v>
      </c>
      <c r="B7" s="28">
        <f>truthStateInitialUncertainty!B7</f>
        <v>30</v>
      </c>
      <c r="C7" s="12" t="str">
        <f>truthStateInitialUncertainty!C7</f>
        <v>ns</v>
      </c>
      <c r="D7" s="12" t="str">
        <f>truthStateInitialUncertainty!D7</f>
        <v>3-sigma clocking bias of asset 6</v>
      </c>
      <c r="E7" s="28">
        <f>truthStateInitialUncertainty!E7</f>
        <v>10</v>
      </c>
    </row>
    <row r="8" spans="1:6" ht="14.45" customHeight="1" x14ac:dyDescent="0.45">
      <c r="A8" s="10" t="str">
        <f>truthStateInitialUncertainty!A8</f>
        <v>sig_b7</v>
      </c>
      <c r="B8" s="28">
        <f>truthStateInitialUncertainty!B8</f>
        <v>30</v>
      </c>
      <c r="C8" s="12" t="str">
        <f>truthStateInitialUncertainty!C8</f>
        <v>ns</v>
      </c>
      <c r="D8" s="12" t="str">
        <f>truthStateInitialUncertainty!D8</f>
        <v>3-sigma clocking bias of asset 7</v>
      </c>
      <c r="E8" s="28">
        <f>truthStateInitialUncertainty!E8</f>
        <v>10</v>
      </c>
    </row>
    <row r="9" spans="1:6" ht="14.45" customHeight="1" x14ac:dyDescent="0.45">
      <c r="A9" s="10" t="str">
        <f>truthStateInitialUncertainty!A9</f>
        <v>sig_px</v>
      </c>
      <c r="B9" s="27">
        <f>truthStateInitialUncertainty!B9</f>
        <v>1.7987547480000001E-2</v>
      </c>
      <c r="C9" s="12" t="str">
        <f>truthStateInitialUncertainty!C9</f>
        <v>km</v>
      </c>
      <c r="D9" s="12" t="str">
        <f>truthStateInitialUncertainty!D9</f>
        <v>3-sigma of RSO x position</v>
      </c>
      <c r="E9" s="55">
        <f>truthStateInitialUncertainty!E9</f>
        <v>5.9958491600000006</v>
      </c>
    </row>
    <row r="10" spans="1:6" ht="14.45" customHeight="1" x14ac:dyDescent="0.45">
      <c r="A10" s="10" t="str">
        <f>truthStateInitialUncertainty!A10</f>
        <v>sig_py</v>
      </c>
      <c r="B10" s="27">
        <f>truthStateInitialUncertainty!B10</f>
        <v>1.7987547480000001E-2</v>
      </c>
      <c r="C10" s="12" t="str">
        <f>truthStateInitialUncertainty!C10</f>
        <v>km</v>
      </c>
      <c r="D10" s="12" t="str">
        <f>truthStateInitialUncertainty!D10</f>
        <v>3-sigma of RSO y position</v>
      </c>
      <c r="E10" s="55">
        <f>truthStateInitialUncertainty!E10</f>
        <v>5.9958491600000006</v>
      </c>
    </row>
    <row r="11" spans="1:6" ht="14.45" customHeight="1" x14ac:dyDescent="0.45">
      <c r="A11" s="10" t="str">
        <f>truthStateInitialUncertainty!A11</f>
        <v>sig_pz</v>
      </c>
      <c r="B11" s="27">
        <f>truthStateInitialUncertainty!B11</f>
        <v>1.7987547480000001E-2</v>
      </c>
      <c r="C11" s="12" t="str">
        <f>truthStateInitialUncertainty!C11</f>
        <v>km</v>
      </c>
      <c r="D11" s="12" t="str">
        <f>truthStateInitialUncertainty!D11</f>
        <v>3-sigma of RSO z position</v>
      </c>
      <c r="E11" s="55">
        <f>truthStateInitialUncertainty!E11</f>
        <v>5.9958491600000006</v>
      </c>
    </row>
    <row r="12" spans="1:6" ht="14.45" customHeight="1" x14ac:dyDescent="0.45">
      <c r="A12" s="10" t="str">
        <f>truthStateInitialUncertainty!A12</f>
        <v>sig_vx</v>
      </c>
      <c r="B12" s="27">
        <f>truthStateInitialUncertainty!B12</f>
        <v>1.5300000000000001E-4</v>
      </c>
      <c r="C12" s="12" t="str">
        <f>truthStateInitialUncertainty!C12</f>
        <v>km/s</v>
      </c>
      <c r="D12" s="12" t="str">
        <f>truthStateInitialUncertainty!D12</f>
        <v>3-sigma of RSO x velocity</v>
      </c>
      <c r="E12" s="55">
        <f>truthStateInitialUncertainty!E12</f>
        <v>5.0999999999999996</v>
      </c>
    </row>
    <row r="13" spans="1:6" ht="14.45" customHeight="1" x14ac:dyDescent="0.45">
      <c r="A13" s="10" t="str">
        <f>truthStateInitialUncertainty!A13</f>
        <v>sig_vy</v>
      </c>
      <c r="B13" s="27">
        <f>truthStateInitialUncertainty!B13</f>
        <v>1.5300000000000001E-4</v>
      </c>
      <c r="C13" s="12" t="str">
        <f>truthStateInitialUncertainty!C13</f>
        <v>km/s</v>
      </c>
      <c r="D13" s="12" t="str">
        <f>truthStateInitialUncertainty!D13</f>
        <v>3-sigma of RSO y velocity</v>
      </c>
      <c r="E13" s="55">
        <f>truthStateInitialUncertainty!E13</f>
        <v>5.0999999999999996</v>
      </c>
    </row>
    <row r="14" spans="1:6" ht="14.45" customHeight="1" x14ac:dyDescent="0.45">
      <c r="A14" s="10" t="str">
        <f>truthStateInitialUncertainty!A14</f>
        <v>sig_vz</v>
      </c>
      <c r="B14" s="27">
        <f>truthStateInitialUncertainty!B14</f>
        <v>1.5300000000000001E-4</v>
      </c>
      <c r="C14" s="12" t="str">
        <f>truthStateInitialUncertainty!C14</f>
        <v>km/s</v>
      </c>
      <c r="D14" s="12" t="str">
        <f>truthStateInitialUncertainty!D14</f>
        <v>3-sigma of RSO z velocity</v>
      </c>
      <c r="E14" s="55">
        <f>truthStateInitialUncertainty!E14</f>
        <v>5.0999999999999996</v>
      </c>
    </row>
    <row r="15" spans="1:6" ht="14.45" customHeight="1" x14ac:dyDescent="0.45">
      <c r="A15" s="10" t="str">
        <f>truthStateInitialUncertainty!A15</f>
        <v>sig_ax</v>
      </c>
      <c r="B15" s="28">
        <f>truthStateInitialUncertainty!B15</f>
        <v>1</v>
      </c>
      <c r="C15" s="12" t="str">
        <f>truthStateInitialUncertainty!C15</f>
        <v>nm/s^2</v>
      </c>
      <c r="D15" s="12" t="str">
        <f>truthStateInitialUncertainty!D15</f>
        <v>3-sigma of RSO x atmo acceleration</v>
      </c>
      <c r="E15" s="55">
        <f>truthStateInitialUncertainty!E15</f>
        <v>3.333333333333333</v>
      </c>
    </row>
    <row r="16" spans="1:6" ht="14.45" customHeight="1" x14ac:dyDescent="0.45">
      <c r="A16" s="10" t="str">
        <f>truthStateInitialUncertainty!A16</f>
        <v>sig_ay</v>
      </c>
      <c r="B16" s="28">
        <f>truthStateInitialUncertainty!B16</f>
        <v>1</v>
      </c>
      <c r="C16" s="12" t="str">
        <f>truthStateInitialUncertainty!C16</f>
        <v>nm/s^2</v>
      </c>
      <c r="D16" s="12" t="str">
        <f>truthStateInitialUncertainty!D16</f>
        <v>3-sigma of RSO y atmo acceleration</v>
      </c>
      <c r="E16" s="55">
        <f>truthStateInitialUncertainty!E16</f>
        <v>3.333333333333333</v>
      </c>
    </row>
    <row r="17" spans="1:5" ht="14.45" customHeight="1" x14ac:dyDescent="0.45">
      <c r="A17" s="10" t="str">
        <f>truthStateInitialUncertainty!A17</f>
        <v>sig_az</v>
      </c>
      <c r="B17" s="28">
        <f>truthStateInitialUncertainty!B17</f>
        <v>1</v>
      </c>
      <c r="C17" s="12" t="str">
        <f>truthStateInitialUncertainty!C17</f>
        <v>nm/s^2</v>
      </c>
      <c r="D17" s="12" t="str">
        <f>truthStateInitialUncertainty!D17</f>
        <v>3-sigma of RSO z atmo acceleration</v>
      </c>
      <c r="E17" s="55">
        <f>truthStateInitialUncertainty!E17</f>
        <v>3.333333333333333</v>
      </c>
    </row>
    <row r="18" spans="1:5" ht="14.45" customHeight="1" x14ac:dyDescent="0.45">
      <c r="A18" s="10"/>
      <c r="B18" s="31"/>
      <c r="C18" s="31"/>
      <c r="D18" s="31"/>
      <c r="E18" s="13"/>
    </row>
    <row r="19" spans="1:5" ht="14.45" customHeight="1" x14ac:dyDescent="0.45">
      <c r="A19" s="15"/>
      <c r="B19" s="17"/>
      <c r="C19" s="17"/>
      <c r="D19" s="17"/>
      <c r="E19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7"/>
  <sheetViews>
    <sheetView zoomScaleNormal="100" workbookViewId="0"/>
  </sheetViews>
  <sheetFormatPr defaultRowHeight="14.25" x14ac:dyDescent="0.45"/>
  <cols>
    <col min="1" max="1" width="11.1328125"/>
    <col min="2" max="2" width="13.46484375"/>
    <col min="3" max="3" width="6.86328125"/>
    <col min="4" max="4" width="16.73046875"/>
    <col min="5" max="5" width="16.06640625"/>
    <col min="6" max="1025" width="8.59765625"/>
  </cols>
  <sheetData>
    <row r="1" spans="1:6" x14ac:dyDescent="0.45">
      <c r="A1" s="56" t="s">
        <v>0</v>
      </c>
      <c r="B1" s="57" t="s">
        <v>1</v>
      </c>
      <c r="C1" s="58" t="s">
        <v>2</v>
      </c>
      <c r="D1" s="58" t="s">
        <v>3</v>
      </c>
      <c r="E1" s="59" t="s">
        <v>4</v>
      </c>
    </row>
    <row r="2" spans="1:6" x14ac:dyDescent="0.45">
      <c r="A2" s="60" t="s">
        <v>79</v>
      </c>
      <c r="B2" s="61">
        <v>1</v>
      </c>
      <c r="C2" s="60" t="s">
        <v>200</v>
      </c>
      <c r="D2" s="60"/>
      <c r="E2" s="62">
        <f t="shared" ref="E2:E8" si="0">B2</f>
        <v>1</v>
      </c>
    </row>
    <row r="3" spans="1:6" x14ac:dyDescent="0.45">
      <c r="A3" s="63" t="s">
        <v>82</v>
      </c>
      <c r="B3" s="64">
        <v>2</v>
      </c>
      <c r="C3" s="63" t="s">
        <v>200</v>
      </c>
      <c r="D3" s="63"/>
      <c r="E3" s="65">
        <f t="shared" si="0"/>
        <v>2</v>
      </c>
    </row>
    <row r="4" spans="1:6" x14ac:dyDescent="0.45">
      <c r="A4" s="63" t="s">
        <v>84</v>
      </c>
      <c r="B4" s="64">
        <v>3</v>
      </c>
      <c r="C4" s="63" t="s">
        <v>200</v>
      </c>
      <c r="D4" s="63"/>
      <c r="E4" s="65">
        <f t="shared" si="0"/>
        <v>3</v>
      </c>
    </row>
    <row r="5" spans="1:6" x14ac:dyDescent="0.45">
      <c r="A5" s="63" t="s">
        <v>86</v>
      </c>
      <c r="B5" s="64">
        <v>0</v>
      </c>
      <c r="C5" s="63" t="s">
        <v>200</v>
      </c>
      <c r="D5" s="63"/>
      <c r="E5" s="65">
        <f t="shared" si="0"/>
        <v>0</v>
      </c>
    </row>
    <row r="6" spans="1:6" x14ac:dyDescent="0.45">
      <c r="A6" s="63" t="s">
        <v>88</v>
      </c>
      <c r="B6" s="64">
        <v>0</v>
      </c>
      <c r="C6" s="63" t="s">
        <v>200</v>
      </c>
      <c r="D6" s="63"/>
      <c r="E6" s="65">
        <f t="shared" si="0"/>
        <v>0</v>
      </c>
    </row>
    <row r="7" spans="1:6" x14ac:dyDescent="0.45">
      <c r="A7" s="63" t="s">
        <v>90</v>
      </c>
      <c r="B7" s="64">
        <v>0</v>
      </c>
      <c r="C7" s="63" t="s">
        <v>200</v>
      </c>
      <c r="D7" s="63"/>
      <c r="E7" s="65">
        <f t="shared" si="0"/>
        <v>0</v>
      </c>
    </row>
    <row r="8" spans="1:6" x14ac:dyDescent="0.45">
      <c r="A8" s="63" t="s">
        <v>92</v>
      </c>
      <c r="B8" s="64">
        <v>0</v>
      </c>
      <c r="C8" s="63" t="s">
        <v>200</v>
      </c>
      <c r="D8" s="63"/>
      <c r="E8" s="65">
        <f t="shared" si="0"/>
        <v>0</v>
      </c>
    </row>
    <row r="9" spans="1:6" x14ac:dyDescent="0.45">
      <c r="A9" s="63" t="s">
        <v>94</v>
      </c>
      <c r="B9" s="63">
        <v>1</v>
      </c>
      <c r="C9" s="63" t="s">
        <v>30</v>
      </c>
      <c r="D9" s="63"/>
      <c r="E9" s="66">
        <f t="shared" ref="E9:E14" si="1">B9*1000</f>
        <v>1000</v>
      </c>
      <c r="F9" s="63"/>
    </row>
    <row r="10" spans="1:6" x14ac:dyDescent="0.45">
      <c r="A10" s="63" t="s">
        <v>96</v>
      </c>
      <c r="B10" s="63">
        <v>2</v>
      </c>
      <c r="C10" s="63" t="s">
        <v>30</v>
      </c>
      <c r="D10" s="63"/>
      <c r="E10" s="66">
        <f t="shared" si="1"/>
        <v>2000</v>
      </c>
      <c r="F10" s="63"/>
    </row>
    <row r="11" spans="1:6" x14ac:dyDescent="0.45">
      <c r="A11" s="63" t="s">
        <v>98</v>
      </c>
      <c r="B11" s="63">
        <v>3</v>
      </c>
      <c r="C11" s="63" t="s">
        <v>30</v>
      </c>
      <c r="D11" s="63"/>
      <c r="E11" s="66">
        <f t="shared" si="1"/>
        <v>3000</v>
      </c>
      <c r="F11" s="63"/>
    </row>
    <row r="12" spans="1:6" x14ac:dyDescent="0.45">
      <c r="A12" s="63" t="s">
        <v>100</v>
      </c>
      <c r="B12" s="63">
        <v>0.1</v>
      </c>
      <c r="C12" s="63" t="s">
        <v>37</v>
      </c>
      <c r="D12" s="63"/>
      <c r="E12" s="66">
        <f t="shared" si="1"/>
        <v>100</v>
      </c>
      <c r="F12" s="63"/>
    </row>
    <row r="13" spans="1:6" x14ac:dyDescent="0.45">
      <c r="A13" s="63" t="s">
        <v>102</v>
      </c>
      <c r="B13" s="63">
        <v>0.2</v>
      </c>
      <c r="C13" s="63" t="s">
        <v>37</v>
      </c>
      <c r="D13" s="63"/>
      <c r="E13" s="66">
        <f t="shared" si="1"/>
        <v>200</v>
      </c>
      <c r="F13" s="63"/>
    </row>
    <row r="14" spans="1:6" x14ac:dyDescent="0.45">
      <c r="A14" s="63" t="s">
        <v>104</v>
      </c>
      <c r="B14" s="63">
        <v>0.3</v>
      </c>
      <c r="C14" s="63" t="s">
        <v>37</v>
      </c>
      <c r="D14" s="63"/>
      <c r="E14" s="66">
        <f t="shared" si="1"/>
        <v>300</v>
      </c>
      <c r="F14" s="63"/>
    </row>
    <row r="15" spans="1:6" x14ac:dyDescent="0.45">
      <c r="A15" s="63" t="s">
        <v>106</v>
      </c>
      <c r="B15" s="63">
        <v>0.01</v>
      </c>
      <c r="C15" s="63" t="s">
        <v>201</v>
      </c>
      <c r="D15" s="63"/>
      <c r="E15" s="66">
        <f>B15</f>
        <v>0.01</v>
      </c>
      <c r="F15" s="63"/>
    </row>
    <row r="16" spans="1:6" x14ac:dyDescent="0.45">
      <c r="A16" s="63" t="s">
        <v>109</v>
      </c>
      <c r="B16" s="63">
        <v>0.02</v>
      </c>
      <c r="C16" s="63" t="s">
        <v>201</v>
      </c>
      <c r="D16" s="63"/>
      <c r="E16" s="66">
        <f>B16</f>
        <v>0.02</v>
      </c>
      <c r="F16" s="63"/>
    </row>
    <row r="17" spans="1:6" x14ac:dyDescent="0.45">
      <c r="A17" s="67" t="s">
        <v>111</v>
      </c>
      <c r="B17" s="67">
        <v>0.03</v>
      </c>
      <c r="C17" s="67" t="s">
        <v>201</v>
      </c>
      <c r="D17" s="67"/>
      <c r="E17" s="68">
        <f>B17</f>
        <v>0.03</v>
      </c>
      <c r="F17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ac</vt:lpstr>
      <vt:lpstr>bc</vt:lpstr>
      <vt:lpstr>days2hrs</vt:lpstr>
      <vt:lpstr>g2mps2</vt:lpstr>
      <vt:lpstr>hr2min</vt:lpstr>
      <vt:lpstr>hr2sec</vt:lpstr>
      <vt:lpstr>km2m</vt:lpstr>
      <vt:lpstr>min2sec</vt:lpstr>
      <vt:lpstr>Na</vt:lpstr>
      <vt:lpstr>pc</vt:lpstr>
      <vt:lpstr>SpeedOfLight</vt:lpstr>
      <vt:lpstr>vc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Christensen</dc:creator>
  <dc:description/>
  <cp:lastModifiedBy>Zach</cp:lastModifiedBy>
  <cp:revision>70</cp:revision>
  <dcterms:created xsi:type="dcterms:W3CDTF">2010-12-01T20:08:29Z</dcterms:created>
  <dcterms:modified xsi:type="dcterms:W3CDTF">2020-12-11T06:39:15Z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